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ущенкоОФ\Desktop\ЧТО ЭТО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Sheet1!$A$1:$D$7539</definedName>
  </definedNames>
  <calcPr calcId="162913"/>
</workbook>
</file>

<file path=xl/calcChain.xml><?xml version="1.0" encoding="utf-8"?>
<calcChain xmlns="http://schemas.openxmlformats.org/spreadsheetml/2006/main">
  <c r="C7539" i="1" l="1"/>
  <c r="C7538" i="1"/>
  <c r="C7537" i="1"/>
  <c r="C7536" i="1"/>
  <c r="C7535" i="1"/>
  <c r="C753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14" i="1"/>
  <c r="C7513" i="1"/>
  <c r="C7512" i="1"/>
  <c r="C7511" i="1"/>
  <c r="C7510" i="1"/>
  <c r="C7509" i="1"/>
  <c r="C7508" i="1"/>
  <c r="C7507" i="1"/>
  <c r="C7506" i="1"/>
  <c r="C7505" i="1"/>
  <c r="C7504" i="1"/>
  <c r="C7503" i="1"/>
  <c r="C7502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477" i="1"/>
  <c r="C7476" i="1"/>
  <c r="C7475" i="1"/>
  <c r="C7474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60" i="1"/>
  <c r="C7459" i="1"/>
  <c r="C7458" i="1"/>
  <c r="C7457" i="1"/>
  <c r="C7456" i="1"/>
  <c r="C7455" i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3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<sst xmlns="http://schemas.openxmlformats.org/spreadsheetml/2006/main" count="15080" uniqueCount="654">
  <si>
    <t>Дом</t>
  </si>
  <si>
    <t>Квартира</t>
  </si>
  <si>
    <t>Код плательщика</t>
  </si>
  <si>
    <t>Долг. Все услуги</t>
  </si>
  <si>
    <t>Галушкина Бориса ул., дом 3 к.1</t>
  </si>
  <si>
    <t>3</t>
  </si>
  <si>
    <t>1</t>
  </si>
  <si>
    <t>4</t>
  </si>
  <si>
    <t>11</t>
  </si>
  <si>
    <t>14</t>
  </si>
  <si>
    <t>17</t>
  </si>
  <si>
    <t>19</t>
  </si>
  <si>
    <t>20</t>
  </si>
  <si>
    <t>21</t>
  </si>
  <si>
    <t>22</t>
  </si>
  <si>
    <t>25</t>
  </si>
  <si>
    <t>27</t>
  </si>
  <si>
    <t>28</t>
  </si>
  <si>
    <t>29</t>
  </si>
  <si>
    <t>30</t>
  </si>
  <si>
    <t>33</t>
  </si>
  <si>
    <t>41</t>
  </si>
  <si>
    <t>45</t>
  </si>
  <si>
    <t>47</t>
  </si>
  <si>
    <t>52</t>
  </si>
  <si>
    <t>67</t>
  </si>
  <si>
    <t>70</t>
  </si>
  <si>
    <t>73</t>
  </si>
  <si>
    <t>79</t>
  </si>
  <si>
    <t>80</t>
  </si>
  <si>
    <t>83</t>
  </si>
  <si>
    <t>86</t>
  </si>
  <si>
    <t>90</t>
  </si>
  <si>
    <t>92</t>
  </si>
  <si>
    <t>93</t>
  </si>
  <si>
    <t>94</t>
  </si>
  <si>
    <t>100</t>
  </si>
  <si>
    <t>104</t>
  </si>
  <si>
    <t>105</t>
  </si>
  <si>
    <t>Галушкина Бориса ул., дом 3 к.2</t>
  </si>
  <si>
    <t>107</t>
  </si>
  <si>
    <t>2</t>
  </si>
  <si>
    <t>0</t>
  </si>
  <si>
    <t>108</t>
  </si>
  <si>
    <t>110</t>
  </si>
  <si>
    <t>116</t>
  </si>
  <si>
    <t>121</t>
  </si>
  <si>
    <t>125</t>
  </si>
  <si>
    <t>128</t>
  </si>
  <si>
    <t>129</t>
  </si>
  <si>
    <t>135</t>
  </si>
  <si>
    <t>136</t>
  </si>
  <si>
    <t>139</t>
  </si>
  <si>
    <t>150</t>
  </si>
  <si>
    <t>152</t>
  </si>
  <si>
    <t>159</t>
  </si>
  <si>
    <t>164</t>
  </si>
  <si>
    <t>176</t>
  </si>
  <si>
    <t>177</t>
  </si>
  <si>
    <t>180</t>
  </si>
  <si>
    <t>183</t>
  </si>
  <si>
    <t>187</t>
  </si>
  <si>
    <t>189</t>
  </si>
  <si>
    <t>193</t>
  </si>
  <si>
    <t>195</t>
  </si>
  <si>
    <t>196</t>
  </si>
  <si>
    <t>197</t>
  </si>
  <si>
    <t>200</t>
  </si>
  <si>
    <t>207</t>
  </si>
  <si>
    <t>211</t>
  </si>
  <si>
    <t>213</t>
  </si>
  <si>
    <t>216</t>
  </si>
  <si>
    <t>Галушкина Бориса ул., дом 8/18</t>
  </si>
  <si>
    <t>9</t>
  </si>
  <si>
    <t>12</t>
  </si>
  <si>
    <t>15</t>
  </si>
  <si>
    <t>34</t>
  </si>
  <si>
    <t>42</t>
  </si>
  <si>
    <t>44</t>
  </si>
  <si>
    <t>46</t>
  </si>
  <si>
    <t>59</t>
  </si>
  <si>
    <t>62</t>
  </si>
  <si>
    <t>65</t>
  </si>
  <si>
    <t>68</t>
  </si>
  <si>
    <t>85</t>
  </si>
  <si>
    <t>91</t>
  </si>
  <si>
    <t>97</t>
  </si>
  <si>
    <t>99</t>
  </si>
  <si>
    <t>101</t>
  </si>
  <si>
    <t>111</t>
  </si>
  <si>
    <t>Галушкина Бориса ул., дом 10</t>
  </si>
  <si>
    <t>16</t>
  </si>
  <si>
    <t>35</t>
  </si>
  <si>
    <t>36</t>
  </si>
  <si>
    <t>38</t>
  </si>
  <si>
    <t>55</t>
  </si>
  <si>
    <t>72</t>
  </si>
  <si>
    <t>84</t>
  </si>
  <si>
    <t>87</t>
  </si>
  <si>
    <t>95</t>
  </si>
  <si>
    <t>Галушкина Бориса ул., дом 12 к.2</t>
  </si>
  <si>
    <t>5</t>
  </si>
  <si>
    <t>7</t>
  </si>
  <si>
    <t>8</t>
  </si>
  <si>
    <t>10</t>
  </si>
  <si>
    <t>13-14</t>
  </si>
  <si>
    <t>23</t>
  </si>
  <si>
    <t>24</t>
  </si>
  <si>
    <t>26</t>
  </si>
  <si>
    <t>31</t>
  </si>
  <si>
    <t>32</t>
  </si>
  <si>
    <t>37</t>
  </si>
  <si>
    <t>39</t>
  </si>
  <si>
    <t>40</t>
  </si>
  <si>
    <t>43</t>
  </si>
  <si>
    <t>50</t>
  </si>
  <si>
    <t>Галушкина Бориса ул., дом 14 к.1</t>
  </si>
  <si>
    <t>49</t>
  </si>
  <si>
    <t>60</t>
  </si>
  <si>
    <t>63</t>
  </si>
  <si>
    <t>64</t>
  </si>
  <si>
    <t>76</t>
  </si>
  <si>
    <t>Галушкина Бориса ул., дом 14 к.2</t>
  </si>
  <si>
    <t>Галушкина Бориса ул., дом 15</t>
  </si>
  <si>
    <t>48</t>
  </si>
  <si>
    <t>57</t>
  </si>
  <si>
    <t>58</t>
  </si>
  <si>
    <t>61</t>
  </si>
  <si>
    <t>66</t>
  </si>
  <si>
    <t>82</t>
  </si>
  <si>
    <t>Галушкина Бориса ул., дом 16</t>
  </si>
  <si>
    <t>56</t>
  </si>
  <si>
    <t>69</t>
  </si>
  <si>
    <t>71</t>
  </si>
  <si>
    <t>77</t>
  </si>
  <si>
    <t>96</t>
  </si>
  <si>
    <t>Галушкина Бориса ул., дом 17</t>
  </si>
  <si>
    <t>13</t>
  </si>
  <si>
    <t>-</t>
  </si>
  <si>
    <t>78</t>
  </si>
  <si>
    <t>109</t>
  </si>
  <si>
    <t>6</t>
  </si>
  <si>
    <t>112</t>
  </si>
  <si>
    <t>115</t>
  </si>
  <si>
    <t>117</t>
  </si>
  <si>
    <t>122</t>
  </si>
  <si>
    <t>127</t>
  </si>
  <si>
    <t>131</t>
  </si>
  <si>
    <t>141</t>
  </si>
  <si>
    <t>143</t>
  </si>
  <si>
    <t>145</t>
  </si>
  <si>
    <t>146</t>
  </si>
  <si>
    <t>148</t>
  </si>
  <si>
    <t>162</t>
  </si>
  <si>
    <t>165</t>
  </si>
  <si>
    <t>169</t>
  </si>
  <si>
    <t>170</t>
  </si>
  <si>
    <t>171</t>
  </si>
  <si>
    <t>179</t>
  </si>
  <si>
    <t>188</t>
  </si>
  <si>
    <t>192</t>
  </si>
  <si>
    <t>198</t>
  </si>
  <si>
    <t>205</t>
  </si>
  <si>
    <t>206</t>
  </si>
  <si>
    <t>210</t>
  </si>
  <si>
    <t>220</t>
  </si>
  <si>
    <t>221</t>
  </si>
  <si>
    <t>222</t>
  </si>
  <si>
    <t>226</t>
  </si>
  <si>
    <t>227</t>
  </si>
  <si>
    <t>230</t>
  </si>
  <si>
    <t>234</t>
  </si>
  <si>
    <t>237</t>
  </si>
  <si>
    <t>242</t>
  </si>
  <si>
    <t>252</t>
  </si>
  <si>
    <t>254</t>
  </si>
  <si>
    <t>256</t>
  </si>
  <si>
    <t>257</t>
  </si>
  <si>
    <t>265</t>
  </si>
  <si>
    <t>266</t>
  </si>
  <si>
    <t>267</t>
  </si>
  <si>
    <t>271</t>
  </si>
  <si>
    <t>272</t>
  </si>
  <si>
    <t>286</t>
  </si>
  <si>
    <t>287</t>
  </si>
  <si>
    <t>288</t>
  </si>
  <si>
    <t>290</t>
  </si>
  <si>
    <t>295</t>
  </si>
  <si>
    <t>296</t>
  </si>
  <si>
    <t>299</t>
  </si>
  <si>
    <t>300</t>
  </si>
  <si>
    <t>302</t>
  </si>
  <si>
    <t>303</t>
  </si>
  <si>
    <t>312</t>
  </si>
  <si>
    <t>313</t>
  </si>
  <si>
    <t>314</t>
  </si>
  <si>
    <t>316</t>
  </si>
  <si>
    <t>325</t>
  </si>
  <si>
    <t>326</t>
  </si>
  <si>
    <t>329</t>
  </si>
  <si>
    <t>330</t>
  </si>
  <si>
    <t>332</t>
  </si>
  <si>
    <t>333</t>
  </si>
  <si>
    <t>334</t>
  </si>
  <si>
    <t>336</t>
  </si>
  <si>
    <t>340</t>
  </si>
  <si>
    <t>341</t>
  </si>
  <si>
    <t>343</t>
  </si>
  <si>
    <t>351</t>
  </si>
  <si>
    <t>352</t>
  </si>
  <si>
    <t>358</t>
  </si>
  <si>
    <t>361</t>
  </si>
  <si>
    <t>362</t>
  </si>
  <si>
    <t>369</t>
  </si>
  <si>
    <t>373</t>
  </si>
  <si>
    <t>374</t>
  </si>
  <si>
    <t>379</t>
  </si>
  <si>
    <t>380</t>
  </si>
  <si>
    <t>382</t>
  </si>
  <si>
    <t>18</t>
  </si>
  <si>
    <t>383</t>
  </si>
  <si>
    <t>386</t>
  </si>
  <si>
    <t>389</t>
  </si>
  <si>
    <t>390</t>
  </si>
  <si>
    <t>397</t>
  </si>
  <si>
    <t>401</t>
  </si>
  <si>
    <t>406</t>
  </si>
  <si>
    <t>412</t>
  </si>
  <si>
    <t>413</t>
  </si>
  <si>
    <t>418</t>
  </si>
  <si>
    <t>421</t>
  </si>
  <si>
    <t>426</t>
  </si>
  <si>
    <t>429</t>
  </si>
  <si>
    <t>433</t>
  </si>
  <si>
    <t>437</t>
  </si>
  <si>
    <t>438</t>
  </si>
  <si>
    <t>439</t>
  </si>
  <si>
    <t>446</t>
  </si>
  <si>
    <t>447</t>
  </si>
  <si>
    <t>455</t>
  </si>
  <si>
    <t>456</t>
  </si>
  <si>
    <t>Галушкина Бориса ул., дом 18</t>
  </si>
  <si>
    <t>54</t>
  </si>
  <si>
    <t>75</t>
  </si>
  <si>
    <t>81</t>
  </si>
  <si>
    <t>89</t>
  </si>
  <si>
    <t>106</t>
  </si>
  <si>
    <t>113</t>
  </si>
  <si>
    <t>120</t>
  </si>
  <si>
    <t>123</t>
  </si>
  <si>
    <t>126</t>
  </si>
  <si>
    <t>132</t>
  </si>
  <si>
    <t>133</t>
  </si>
  <si>
    <t>151</t>
  </si>
  <si>
    <t>156</t>
  </si>
  <si>
    <t>158</t>
  </si>
  <si>
    <t>181</t>
  </si>
  <si>
    <t>190</t>
  </si>
  <si>
    <t>204</t>
  </si>
  <si>
    <t>209</t>
  </si>
  <si>
    <t>212</t>
  </si>
  <si>
    <t>217</t>
  </si>
  <si>
    <t>218</t>
  </si>
  <si>
    <t>231</t>
  </si>
  <si>
    <t>232</t>
  </si>
  <si>
    <t>236</t>
  </si>
  <si>
    <t>240</t>
  </si>
  <si>
    <t>251</t>
  </si>
  <si>
    <t>253</t>
  </si>
  <si>
    <t>261</t>
  </si>
  <si>
    <t>262</t>
  </si>
  <si>
    <t>263</t>
  </si>
  <si>
    <t>264</t>
  </si>
  <si>
    <t>269</t>
  </si>
  <si>
    <t>270</t>
  </si>
  <si>
    <t>275</t>
  </si>
  <si>
    <t>283</t>
  </si>
  <si>
    <t>284</t>
  </si>
  <si>
    <t>285</t>
  </si>
  <si>
    <t>297</t>
  </si>
  <si>
    <t>307</t>
  </si>
  <si>
    <t>309</t>
  </si>
  <si>
    <t>315</t>
  </si>
  <si>
    <t>317</t>
  </si>
  <si>
    <t>339</t>
  </si>
  <si>
    <t>344</t>
  </si>
  <si>
    <t>345</t>
  </si>
  <si>
    <t>349</t>
  </si>
  <si>
    <t>356</t>
  </si>
  <si>
    <t>Галушкина Бориса ул., дом 19 к.1</t>
  </si>
  <si>
    <t>74</t>
  </si>
  <si>
    <t>88</t>
  </si>
  <si>
    <t>Галушкина Бориса ул., дом 19 к.2</t>
  </si>
  <si>
    <t>102</t>
  </si>
  <si>
    <t>130</t>
  </si>
  <si>
    <t>142</t>
  </si>
  <si>
    <t>147</t>
  </si>
  <si>
    <t>160</t>
  </si>
  <si>
    <t>161</t>
  </si>
  <si>
    <t>178</t>
  </si>
  <si>
    <t>Галушкина Бориса ул., дом 20</t>
  </si>
  <si>
    <t>119</t>
  </si>
  <si>
    <t>138-139</t>
  </si>
  <si>
    <t>Галушкина Бориса ул., дом 21</t>
  </si>
  <si>
    <t>103</t>
  </si>
  <si>
    <t>114</t>
  </si>
  <si>
    <t>134</t>
  </si>
  <si>
    <t>144</t>
  </si>
  <si>
    <t>154</t>
  </si>
  <si>
    <t>155</t>
  </si>
  <si>
    <t>Галушкина Бориса ул., дом 23</t>
  </si>
  <si>
    <t>91-92</t>
  </si>
  <si>
    <t>167</t>
  </si>
  <si>
    <t>Галушкина Бориса ул., дом 25</t>
  </si>
  <si>
    <t>53</t>
  </si>
  <si>
    <t>118</t>
  </si>
  <si>
    <t>140</t>
  </si>
  <si>
    <t>149</t>
  </si>
  <si>
    <t>157</t>
  </si>
  <si>
    <t>Галушкина Бориса ул., дом 26</t>
  </si>
  <si>
    <t>51</t>
  </si>
  <si>
    <t>Галушкина Бориса ул., дом -</t>
  </si>
  <si>
    <t>Графский пер., дом 10/12 к.2</t>
  </si>
  <si>
    <t>Графский пер., дом 10/12 к.3</t>
  </si>
  <si>
    <t>Графский пер., дом 12</t>
  </si>
  <si>
    <t>Зубарев пер., дом 17</t>
  </si>
  <si>
    <t>Касаткина ул., дом 16</t>
  </si>
  <si>
    <t>163</t>
  </si>
  <si>
    <t>166</t>
  </si>
  <si>
    <t>Касаткина ул., дом 16Б</t>
  </si>
  <si>
    <t>Касаткина ул., дом 20</t>
  </si>
  <si>
    <t>138</t>
  </si>
  <si>
    <t>Касаткина ул., дом 21</t>
  </si>
  <si>
    <t>98</t>
  </si>
  <si>
    <t>137</t>
  </si>
  <si>
    <t>168</t>
  </si>
  <si>
    <t>182</t>
  </si>
  <si>
    <t>Касаткина ул., дом 22</t>
  </si>
  <si>
    <t>Кибальчича ул., дом 2 к.1</t>
  </si>
  <si>
    <t>124</t>
  </si>
  <si>
    <t>173</t>
  </si>
  <si>
    <t>174</t>
  </si>
  <si>
    <t>185</t>
  </si>
  <si>
    <t>186</t>
  </si>
  <si>
    <t>191</t>
  </si>
  <si>
    <t>194</t>
  </si>
  <si>
    <t>199</t>
  </si>
  <si>
    <t>219</t>
  </si>
  <si>
    <t>229</t>
  </si>
  <si>
    <t>241</t>
  </si>
  <si>
    <t>244</t>
  </si>
  <si>
    <t>245</t>
  </si>
  <si>
    <t>247</t>
  </si>
  <si>
    <t>250</t>
  </si>
  <si>
    <t>276</t>
  </si>
  <si>
    <t>278</t>
  </si>
  <si>
    <t>279</t>
  </si>
  <si>
    <t>282</t>
  </si>
  <si>
    <t>292</t>
  </si>
  <si>
    <t>294</t>
  </si>
  <si>
    <t>311</t>
  </si>
  <si>
    <t>319</t>
  </si>
  <si>
    <t>320</t>
  </si>
  <si>
    <t>321</t>
  </si>
  <si>
    <t>327</t>
  </si>
  <si>
    <t>Кибальчича ул., дом 2 к.2</t>
  </si>
  <si>
    <t>Кибальчича ул., дом 2 к.3</t>
  </si>
  <si>
    <t>Кибальчича ул., дом 2 к.4</t>
  </si>
  <si>
    <t>Кибальчича ул., дом 3</t>
  </si>
  <si>
    <t>Кибальчича ул., дом 4/6</t>
  </si>
  <si>
    <t>Кибальчича ул., дом 8</t>
  </si>
  <si>
    <t>Кибальчича ул., дом 10</t>
  </si>
  <si>
    <t>Кибальчича ул., дом 11 к.1</t>
  </si>
  <si>
    <t>Кибальчича ул., дом 11 к.2</t>
  </si>
  <si>
    <t>Кибальчича ул., дом 11 к.3</t>
  </si>
  <si>
    <t>Кибальчича ул., дом 12 к.1</t>
  </si>
  <si>
    <t>Кибальчича ул., дом 12 к.2</t>
  </si>
  <si>
    <t>175</t>
  </si>
  <si>
    <t>184</t>
  </si>
  <si>
    <t>201</t>
  </si>
  <si>
    <t>202</t>
  </si>
  <si>
    <t>Кибальчича ул., дом 13</t>
  </si>
  <si>
    <t>Кибальчича ул., дом 14</t>
  </si>
  <si>
    <t>Кибальчича ул., дом 15</t>
  </si>
  <si>
    <t>Константинова ул., дом 1</t>
  </si>
  <si>
    <t>Константинова ул., дом 2</t>
  </si>
  <si>
    <t>Константинова ул., дом 3</t>
  </si>
  <si>
    <t>Константинова ул., дом 4</t>
  </si>
  <si>
    <t>Константинова ул., дом 5</t>
  </si>
  <si>
    <t>Константинова ул., дом 6</t>
  </si>
  <si>
    <t>Константинова ул., дом 7</t>
  </si>
  <si>
    <t>Константинова ул., дом 8</t>
  </si>
  <si>
    <t>Константинова ул., дом 9</t>
  </si>
  <si>
    <t>Константинова ул., дом 10 к.1</t>
  </si>
  <si>
    <t>Константинова ул., дом 10 к.2</t>
  </si>
  <si>
    <t>Константинова ул., дом 11</t>
  </si>
  <si>
    <t>Константинова ул., дом 12</t>
  </si>
  <si>
    <t>Константинова ул., дом 14 к.1</t>
  </si>
  <si>
    <t>Константинова ул., дом 14 к.2</t>
  </si>
  <si>
    <t>Константинова ул., дом 16</t>
  </si>
  <si>
    <t>Константинова ул., дом 18</t>
  </si>
  <si>
    <t>Константинова ул., дом 20</t>
  </si>
  <si>
    <t>Константинова ул., дом 22</t>
  </si>
  <si>
    <t>Константинова ул., дом 24 к.1</t>
  </si>
  <si>
    <t>Константинова ул., дом 24 к.2</t>
  </si>
  <si>
    <t>Константинова ул., дом 26</t>
  </si>
  <si>
    <t>Константинова ул., дом 28</t>
  </si>
  <si>
    <t>Константинова ул., дом 30</t>
  </si>
  <si>
    <t>Константинова ул., дом 32 к.1</t>
  </si>
  <si>
    <t>Константинова ул., дом 32 к.2</t>
  </si>
  <si>
    <t>Константинова ул., дом 34 к.1</t>
  </si>
  <si>
    <t>Константинова ул., дом 34 к.2</t>
  </si>
  <si>
    <t>Корчагина Павла ул., дом 1</t>
  </si>
  <si>
    <t>Корчагина Павла ул., дом 2/1</t>
  </si>
  <si>
    <t>Корчагина Павла ул., дом 3</t>
  </si>
  <si>
    <t>Корчагина Павла ул., дом 4</t>
  </si>
  <si>
    <t>215</t>
  </si>
  <si>
    <t>223</t>
  </si>
  <si>
    <t>225</t>
  </si>
  <si>
    <t>228</t>
  </si>
  <si>
    <t>249</t>
  </si>
  <si>
    <t>280</t>
  </si>
  <si>
    <t>281</t>
  </si>
  <si>
    <t>Корчагина Павла ул., дом 5</t>
  </si>
  <si>
    <t>Корчагина Павла ул., дом 7</t>
  </si>
  <si>
    <t>Корчагина Павла ул., дом 8</t>
  </si>
  <si>
    <t>Корчагина Павла ул., дом 9</t>
  </si>
  <si>
    <t>Корчагина Павла ул., дом 10</t>
  </si>
  <si>
    <t>153</t>
  </si>
  <si>
    <t>172</t>
  </si>
  <si>
    <t>Корчагина Павла ул., дом 11</t>
  </si>
  <si>
    <t>238</t>
  </si>
  <si>
    <t>246</t>
  </si>
  <si>
    <t>Корчагина Павла ул., дом 13</t>
  </si>
  <si>
    <t>208</t>
  </si>
  <si>
    <t>214</t>
  </si>
  <si>
    <t>239</t>
  </si>
  <si>
    <t>273</t>
  </si>
  <si>
    <t>Корчагина Павла ул., дом 14</t>
  </si>
  <si>
    <t>203</t>
  </si>
  <si>
    <t>Корчагина Павла ул., дом 15</t>
  </si>
  <si>
    <t>Корчагина Павла ул., дом 16</t>
  </si>
  <si>
    <t>Космонавтов ул., дом 4</t>
  </si>
  <si>
    <t>Космонавтов ул., дом 6</t>
  </si>
  <si>
    <t>Космонавтов ул., дом 7</t>
  </si>
  <si>
    <t>Космонавтов ул., дом 8 к.2</t>
  </si>
  <si>
    <t>Космонавтов ул., дом 8 к.3</t>
  </si>
  <si>
    <t>Космонавтов ул., дом 10 к.1</t>
  </si>
  <si>
    <t>Космонавтов ул., дом 10 к.2</t>
  </si>
  <si>
    <t>Космонавтов ул., дом 10 к.3</t>
  </si>
  <si>
    <t>Космонавтов ул., дом 12</t>
  </si>
  <si>
    <t>Космонавтов ул., дом 14 к.1</t>
  </si>
  <si>
    <t>Космонавтов ул., дом 14 к.2</t>
  </si>
  <si>
    <t>Космонавтов ул., дом 14 к.3</t>
  </si>
  <si>
    <t>224</t>
  </si>
  <si>
    <t>Космонавтов ул., дом 16</t>
  </si>
  <si>
    <t>Космонавтов ул., дом 18 к.1</t>
  </si>
  <si>
    <t>22-24</t>
  </si>
  <si>
    <t>Космонавтов ул., дом 20</t>
  </si>
  <si>
    <t>Космонавтов ул., дом 22</t>
  </si>
  <si>
    <t>Космонавтов ул., дом 24</t>
  </si>
  <si>
    <t>Космонавтов ул., дом 26</t>
  </si>
  <si>
    <t>Космонавтов ул., дом 28</t>
  </si>
  <si>
    <t>Кучин пер., дом 12</t>
  </si>
  <si>
    <t>Кучин пер., дом 14</t>
  </si>
  <si>
    <t>Маломосковская ул., дом 2 к.1</t>
  </si>
  <si>
    <t>Маломосковская ул., дом 2 к.2</t>
  </si>
  <si>
    <t>Маломосковская ул., дом 3</t>
  </si>
  <si>
    <t>Маломосковская ул., дом 6</t>
  </si>
  <si>
    <t>Маломосковская ул., дом 6 к.2</t>
  </si>
  <si>
    <t>Маломосковская ул., дом 8</t>
  </si>
  <si>
    <t>Маломосковская ул., дом 15А</t>
  </si>
  <si>
    <t>Маломосковская ул., дом 19</t>
  </si>
  <si>
    <t>Маломосковская ул., дом 21 к.1</t>
  </si>
  <si>
    <t>Маломосковская ул., дом 21 к.2</t>
  </si>
  <si>
    <t>26,27</t>
  </si>
  <si>
    <t>Маломосковская ул., дом 21 к.3</t>
  </si>
  <si>
    <t>173,174</t>
  </si>
  <si>
    <t>235</t>
  </si>
  <si>
    <t>243</t>
  </si>
  <si>
    <t>Маломосковская ул., дом 21 к.4</t>
  </si>
  <si>
    <t>Маломосковская ул., дом 27</t>
  </si>
  <si>
    <t>Маломосковская ул., дом 29</t>
  </si>
  <si>
    <t>Маломосковская ул., дом 31</t>
  </si>
  <si>
    <t>Мира просп., дом 108</t>
  </si>
  <si>
    <t>233</t>
  </si>
  <si>
    <t>248</t>
  </si>
  <si>
    <t>259</t>
  </si>
  <si>
    <t>268</t>
  </si>
  <si>
    <t>304</t>
  </si>
  <si>
    <t>308</t>
  </si>
  <si>
    <t>354</t>
  </si>
  <si>
    <t>357</t>
  </si>
  <si>
    <t>359</t>
  </si>
  <si>
    <t>360</t>
  </si>
  <si>
    <t>363</t>
  </si>
  <si>
    <t>366</t>
  </si>
  <si>
    <t>372</t>
  </si>
  <si>
    <t>381</t>
  </si>
  <si>
    <t>387</t>
  </si>
  <si>
    <t>396</t>
  </si>
  <si>
    <t>399</t>
  </si>
  <si>
    <t>400</t>
  </si>
  <si>
    <t>Мира просп., дом 110/2</t>
  </si>
  <si>
    <t>258</t>
  </si>
  <si>
    <t>291</t>
  </si>
  <si>
    <t>293</t>
  </si>
  <si>
    <t>298</t>
  </si>
  <si>
    <t>322</t>
  </si>
  <si>
    <t>323</t>
  </si>
  <si>
    <t>324</t>
  </si>
  <si>
    <t>331</t>
  </si>
  <si>
    <t>346</t>
  </si>
  <si>
    <t>350</t>
  </si>
  <si>
    <t>368</t>
  </si>
  <si>
    <t>376</t>
  </si>
  <si>
    <t>Мира просп., дом 112</t>
  </si>
  <si>
    <t>301</t>
  </si>
  <si>
    <t>328</t>
  </si>
  <si>
    <t>342</t>
  </si>
  <si>
    <t>347</t>
  </si>
  <si>
    <t>Мира просп., дом 114</t>
  </si>
  <si>
    <t>Мира просп., дом 114Б</t>
  </si>
  <si>
    <t>Мира просп., дом 116</t>
  </si>
  <si>
    <t>21А</t>
  </si>
  <si>
    <t>22А</t>
  </si>
  <si>
    <t>42А</t>
  </si>
  <si>
    <t>64А</t>
  </si>
  <si>
    <t>66А</t>
  </si>
  <si>
    <t>Мира просп., дом 116А</t>
  </si>
  <si>
    <t>Мира просп., дом 116Б</t>
  </si>
  <si>
    <t>27-28</t>
  </si>
  <si>
    <t>Мира просп., дом 118</t>
  </si>
  <si>
    <t>255</t>
  </si>
  <si>
    <t>260</t>
  </si>
  <si>
    <t>274</t>
  </si>
  <si>
    <t>Мира просп., дом 118А</t>
  </si>
  <si>
    <t>289</t>
  </si>
  <si>
    <t>Мира просп., дом 120</t>
  </si>
  <si>
    <t>305</t>
  </si>
  <si>
    <t>310</t>
  </si>
  <si>
    <t>Мира просп., дом 122</t>
  </si>
  <si>
    <t>Мира просп., дом 124 к.1</t>
  </si>
  <si>
    <t>Мира просп., дом 124 к.2</t>
  </si>
  <si>
    <t>Мира просп., дом 124 к.3</t>
  </si>
  <si>
    <t>Мира просп., дом 124 к.4</t>
  </si>
  <si>
    <t>Мира просп., дом 124 к.5</t>
  </si>
  <si>
    <t>Мира просп., дом 124 к.7</t>
  </si>
  <si>
    <t>Мира просп., дом 124 к.8</t>
  </si>
  <si>
    <t>Мира просп., дом 124 к.9</t>
  </si>
  <si>
    <t>Мира просп., дом 124 к.10</t>
  </si>
  <si>
    <t>Мира просп., дом 124 к.11</t>
  </si>
  <si>
    <t>Мира просп., дом 124 к.12</t>
  </si>
  <si>
    <t>335</t>
  </si>
  <si>
    <t>353</t>
  </si>
  <si>
    <t>Мира просп., дом 124 к.13</t>
  </si>
  <si>
    <t>378</t>
  </si>
  <si>
    <t>385</t>
  </si>
  <si>
    <t>388</t>
  </si>
  <si>
    <t>393</t>
  </si>
  <si>
    <t>394</t>
  </si>
  <si>
    <t>Мира просп., дом 124 к.14</t>
  </si>
  <si>
    <t>Мира просп., дом 124 к.15</t>
  </si>
  <si>
    <t>Мира просп., дом 124 к.16</t>
  </si>
  <si>
    <t>408</t>
  </si>
  <si>
    <t>411</t>
  </si>
  <si>
    <t>415</t>
  </si>
  <si>
    <t>424</t>
  </si>
  <si>
    <t>425-1</t>
  </si>
  <si>
    <t>430</t>
  </si>
  <si>
    <t>431</t>
  </si>
  <si>
    <t>436</t>
  </si>
  <si>
    <t>Мира просп., дом 124 к.17</t>
  </si>
  <si>
    <t>Мира просп., дом 124 к.18</t>
  </si>
  <si>
    <t>Мира просп., дом 124 к.19</t>
  </si>
  <si>
    <t>Мира просп., дом 124 к.20</t>
  </si>
  <si>
    <t>Мира просп., дом 146</t>
  </si>
  <si>
    <t>Мира просп., дом 180</t>
  </si>
  <si>
    <t>Мира просп., дом 180 к.2</t>
  </si>
  <si>
    <t>Мира просп., дом 182</t>
  </si>
  <si>
    <t>277</t>
  </si>
  <si>
    <t>337</t>
  </si>
  <si>
    <t>348</t>
  </si>
  <si>
    <t>Мира просп., дом 182 к.2</t>
  </si>
  <si>
    <t>Мира просп., дом 182 к.3</t>
  </si>
  <si>
    <t>Мира просп., дом 184 к.1</t>
  </si>
  <si>
    <t>Мытищинская 3-я ул., дом 14</t>
  </si>
  <si>
    <t>Мытищинская 3-я ул., дом 14А</t>
  </si>
  <si>
    <t>Новоалексеевская ул., дом 1</t>
  </si>
  <si>
    <t>Новоалексеевская ул., дом 3</t>
  </si>
  <si>
    <t>Новоалексеевская ул., дом 3А</t>
  </si>
  <si>
    <t>Новоалексеевская ул., дом 4 к.1</t>
  </si>
  <si>
    <t>Новоалексеевская ул., дом 4 к.2</t>
  </si>
  <si>
    <t>Новоалексеевская ул., дом 4 к.3</t>
  </si>
  <si>
    <t>Новоалексеевская ул., дом 4 к.4</t>
  </si>
  <si>
    <t>Новоалексеевская ул., дом 5</t>
  </si>
  <si>
    <t>Новоалексеевская ул., дом 5А</t>
  </si>
  <si>
    <t>Новоалексеевская ул., дом 7</t>
  </si>
  <si>
    <t>Новоалексеевская ул., дом 9</t>
  </si>
  <si>
    <t>Новоалексеевская ул., дом 11</t>
  </si>
  <si>
    <t>Новоалексеевская ул., дом 13 к.1</t>
  </si>
  <si>
    <t>Новоалексеевская ул., дом 15</t>
  </si>
  <si>
    <t>Новоалексеевская ул., дом 17</t>
  </si>
  <si>
    <t>Новоалексеевская ул., дом 18 к.1</t>
  </si>
  <si>
    <t>Новоалексеевская ул., дом 18 к.2</t>
  </si>
  <si>
    <t>Новоалексеевская ул., дом 18 к.3</t>
  </si>
  <si>
    <t>Новоалексеевская ул., дом 18 к.4</t>
  </si>
  <si>
    <t>Новоалексеевская ул., дом 19 к.1</t>
  </si>
  <si>
    <t>Новоалексеевская ул., дом 20</t>
  </si>
  <si>
    <t>Новоалексеевская ул., дом 23</t>
  </si>
  <si>
    <t>Ракетный бульв., дом 1</t>
  </si>
  <si>
    <t>Ракетный бульв., дом 3</t>
  </si>
  <si>
    <t>Ракетный бульв., дом 5</t>
  </si>
  <si>
    <t>Ракетный бульв., дом 7</t>
  </si>
  <si>
    <t>Ракетный бульв., дом 8</t>
  </si>
  <si>
    <t>Ракетный бульв., дом 9 к.1</t>
  </si>
  <si>
    <t>Ракетный бульв., дом 10</t>
  </si>
  <si>
    <t>Ракетный бульв., дом 11 к.1</t>
  </si>
  <si>
    <t>Ракетный бульв., дом 11 к.2</t>
  </si>
  <si>
    <t>Ракетный бульв., дом 12</t>
  </si>
  <si>
    <t>Ракетный бульв., дом 13 к.1</t>
  </si>
  <si>
    <t>Ракетный бульв., дом 15</t>
  </si>
  <si>
    <t>Ракетный бульв., дом 17</t>
  </si>
  <si>
    <t>Рижский 1-й пер., дом 2 к.1</t>
  </si>
  <si>
    <t>Рижский 1-й пер., дом 2 к.2</t>
  </si>
  <si>
    <t>Рижский 1-й пер., дом 2 к.3</t>
  </si>
  <si>
    <t>Рижский 1-й пер., дом 2 к.4</t>
  </si>
  <si>
    <t>Рижский 1-й пер., дом 2 к.7</t>
  </si>
  <si>
    <t>Рижский 1-й пер., дом 3</t>
  </si>
  <si>
    <t>Рижский пр., дом 1/5</t>
  </si>
  <si>
    <t>Рижский пр., дом 3</t>
  </si>
  <si>
    <t>212.224</t>
  </si>
  <si>
    <t>263/264</t>
  </si>
  <si>
    <t>Рижский пр., дом 5</t>
  </si>
  <si>
    <t>Рижский пр., дом 7</t>
  </si>
  <si>
    <t>Рижский пр., дом 9</t>
  </si>
  <si>
    <t>Рижский пр., дом 11</t>
  </si>
  <si>
    <t>Рижский пр., дом 13</t>
  </si>
  <si>
    <t>Рижский пр., дом 17</t>
  </si>
  <si>
    <t>Староалексеевская ул., дом 14 к.1</t>
  </si>
  <si>
    <t>Староалексеевская ул., дом 14 к.2</t>
  </si>
  <si>
    <t>Староалексеевская ул., дом 16</t>
  </si>
  <si>
    <t>Ярославская ул., дом 2</t>
  </si>
  <si>
    <t>Ярославская ул., дом 3</t>
  </si>
  <si>
    <t>Ярославская ул., дом 4 к.1</t>
  </si>
  <si>
    <t>Ярославская ул., дом 5</t>
  </si>
  <si>
    <t>Ярославская ул., дом 7</t>
  </si>
  <si>
    <t>Ярославская ул., дом 9</t>
  </si>
  <si>
    <t>Ярославская ул., дом 10 к.3</t>
  </si>
  <si>
    <t>Ярославская ул., дом 14 к.1</t>
  </si>
  <si>
    <t>Ярославская ул., дом 14 к.2</t>
  </si>
  <si>
    <t>Ярославская ул., дом 16</t>
  </si>
  <si>
    <t>Ярославская ул., дом 17</t>
  </si>
  <si>
    <t>Ярославская ул., дом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</si>
</sst>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rgb="FF0C67D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39"/>
  <sheetViews>
    <sheetView tabSelected="1" workbookViewId="0">
      <pane xSplit="3" ySplit="1" topLeftCell="D7506" activePane="bottomRight" state="frozen"/>
      <selection pane="topRight" activeCell="G1" sqref="G1"/>
      <selection pane="bottomLeft" activeCell="A9" sqref="A9"/>
      <selection pane="bottomRight" activeCell="I7510" sqref="I7510"/>
    </sheetView>
  </sheetViews>
  <sheetFormatPr defaultRowHeight="15" x14ac:dyDescent="0.25"/>
  <cols>
    <col min="1" max="1" width="24.7109375" customWidth="1"/>
    <col min="2" max="2" width="5.5703125" customWidth="1"/>
    <col min="3" max="3" width="17" customWidth="1"/>
  </cols>
  <sheetData>
    <row r="1" spans="1:4" ht="4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t="s">
        <v>5</v>
      </c>
      <c r="C2" s="2">
        <f>HYPERLINK("https://svao.dolgi.msk.ru/account/1760059923/", 1760059923)</f>
        <v>1760059923</v>
      </c>
      <c r="D2">
        <v>5501.45</v>
      </c>
    </row>
    <row r="3" spans="1:4" x14ac:dyDescent="0.25">
      <c r="A3" t="s">
        <v>4</v>
      </c>
      <c r="B3" t="s">
        <v>7</v>
      </c>
      <c r="C3" s="2">
        <f>HYPERLINK("https://svao.dolgi.msk.ru/account/1760059931/", 1760059931)</f>
        <v>1760059931</v>
      </c>
      <c r="D3">
        <v>17186.97</v>
      </c>
    </row>
    <row r="4" spans="1:4" x14ac:dyDescent="0.25">
      <c r="A4" t="s">
        <v>4</v>
      </c>
      <c r="B4" t="s">
        <v>8</v>
      </c>
      <c r="C4" s="2">
        <f>HYPERLINK("https://svao.dolgi.msk.ru/account/1760060035/", 1760060035)</f>
        <v>1760060035</v>
      </c>
      <c r="D4">
        <v>4698.38</v>
      </c>
    </row>
    <row r="5" spans="1:4" x14ac:dyDescent="0.25">
      <c r="A5" t="s">
        <v>4</v>
      </c>
      <c r="B5" t="s">
        <v>9</v>
      </c>
      <c r="C5" s="2">
        <f>HYPERLINK("https://svao.dolgi.msk.ru/account/1760060078/", 1760060078)</f>
        <v>1760060078</v>
      </c>
      <c r="D5">
        <v>28516.27</v>
      </c>
    </row>
    <row r="6" spans="1:4" x14ac:dyDescent="0.25">
      <c r="A6" t="s">
        <v>4</v>
      </c>
      <c r="B6" t="s">
        <v>10</v>
      </c>
      <c r="C6" s="2">
        <f>HYPERLINK("https://svao.dolgi.msk.ru/account/1760060107/", 1760060107)</f>
        <v>1760060107</v>
      </c>
      <c r="D6">
        <v>4307.3500000000004</v>
      </c>
    </row>
    <row r="7" spans="1:4" x14ac:dyDescent="0.25">
      <c r="A7" t="s">
        <v>4</v>
      </c>
      <c r="B7" t="s">
        <v>11</v>
      </c>
      <c r="C7" s="2">
        <f>HYPERLINK("https://svao.dolgi.msk.ru/account/1760060123/", 1760060123)</f>
        <v>1760060123</v>
      </c>
      <c r="D7">
        <v>3796.64</v>
      </c>
    </row>
    <row r="8" spans="1:4" x14ac:dyDescent="0.25">
      <c r="A8" t="s">
        <v>4</v>
      </c>
      <c r="B8" t="s">
        <v>12</v>
      </c>
      <c r="C8" s="2">
        <f>HYPERLINK("https://svao.dolgi.msk.ru/account/1760060131/", 1760060131)</f>
        <v>1760060131</v>
      </c>
      <c r="D8">
        <v>15963.74</v>
      </c>
    </row>
    <row r="9" spans="1:4" x14ac:dyDescent="0.25">
      <c r="A9" t="s">
        <v>4</v>
      </c>
      <c r="B9" t="s">
        <v>13</v>
      </c>
      <c r="C9" s="2">
        <f>HYPERLINK("https://svao.dolgi.msk.ru/account/1760060158/", 1760060158)</f>
        <v>1760060158</v>
      </c>
      <c r="D9">
        <v>4710.13</v>
      </c>
    </row>
    <row r="10" spans="1:4" x14ac:dyDescent="0.25">
      <c r="A10" t="s">
        <v>4</v>
      </c>
      <c r="B10" t="s">
        <v>14</v>
      </c>
      <c r="C10" s="2">
        <f>HYPERLINK("https://svao.dolgi.msk.ru/account/1760060166/", 1760060166)</f>
        <v>1760060166</v>
      </c>
      <c r="D10">
        <v>1036.8699999999999</v>
      </c>
    </row>
    <row r="11" spans="1:4" x14ac:dyDescent="0.25">
      <c r="A11" t="s">
        <v>4</v>
      </c>
      <c r="B11" t="s">
        <v>15</v>
      </c>
      <c r="C11" s="2">
        <f>HYPERLINK("https://svao.dolgi.msk.ru/account/1760060203/", 1760060203)</f>
        <v>1760060203</v>
      </c>
      <c r="D11">
        <v>3036.3</v>
      </c>
    </row>
    <row r="12" spans="1:4" x14ac:dyDescent="0.25">
      <c r="A12" t="s">
        <v>4</v>
      </c>
      <c r="B12" t="s">
        <v>16</v>
      </c>
      <c r="C12" s="2">
        <f>HYPERLINK("https://svao.dolgi.msk.ru/account/1760060238/", 1760060238)</f>
        <v>1760060238</v>
      </c>
      <c r="D12">
        <v>4902.9399999999996</v>
      </c>
    </row>
    <row r="13" spans="1:4" x14ac:dyDescent="0.25">
      <c r="A13" t="s">
        <v>4</v>
      </c>
      <c r="B13" t="s">
        <v>17</v>
      </c>
      <c r="C13" s="2">
        <f>HYPERLINK("https://svao.dolgi.msk.ru/account/1760060246/", 1760060246)</f>
        <v>1760060246</v>
      </c>
      <c r="D13">
        <v>4026.18</v>
      </c>
    </row>
    <row r="14" spans="1:4" x14ac:dyDescent="0.25">
      <c r="A14" t="s">
        <v>4</v>
      </c>
      <c r="B14" t="s">
        <v>18</v>
      </c>
      <c r="C14" s="2">
        <f>HYPERLINK("https://svao.dolgi.msk.ru/account/1760060254/", 1760060254)</f>
        <v>1760060254</v>
      </c>
      <c r="D14">
        <v>4566.47</v>
      </c>
    </row>
    <row r="15" spans="1:4" x14ac:dyDescent="0.25">
      <c r="A15" t="s">
        <v>4</v>
      </c>
      <c r="B15" t="s">
        <v>19</v>
      </c>
      <c r="C15" s="2">
        <f>HYPERLINK("https://svao.dolgi.msk.ru/account/1760060262/", 1760060262)</f>
        <v>1760060262</v>
      </c>
      <c r="D15">
        <v>5283.16</v>
      </c>
    </row>
    <row r="16" spans="1:4" x14ac:dyDescent="0.25">
      <c r="A16" t="s">
        <v>4</v>
      </c>
      <c r="B16" t="s">
        <v>20</v>
      </c>
      <c r="C16" s="2">
        <f>HYPERLINK("https://svao.dolgi.msk.ru/account/1760060318/", 1760060318)</f>
        <v>1760060318</v>
      </c>
      <c r="D16">
        <v>5000.58</v>
      </c>
    </row>
    <row r="17" spans="1:4" x14ac:dyDescent="0.25">
      <c r="A17" t="s">
        <v>4</v>
      </c>
      <c r="B17" t="s">
        <v>21</v>
      </c>
      <c r="C17" s="2">
        <f>HYPERLINK("https://svao.dolgi.msk.ru/account/1760060406/", 1760060406)</f>
        <v>1760060406</v>
      </c>
      <c r="D17">
        <v>4691.5</v>
      </c>
    </row>
    <row r="18" spans="1:4" x14ac:dyDescent="0.25">
      <c r="A18" t="s">
        <v>4</v>
      </c>
      <c r="B18" t="s">
        <v>22</v>
      </c>
      <c r="C18" s="2">
        <f>HYPERLINK("https://svao.dolgi.msk.ru/account/1760060457/", 1760060457)</f>
        <v>1760060457</v>
      </c>
      <c r="D18">
        <v>3939.47</v>
      </c>
    </row>
    <row r="19" spans="1:4" x14ac:dyDescent="0.25">
      <c r="A19" t="s">
        <v>4</v>
      </c>
      <c r="B19" t="s">
        <v>23</v>
      </c>
      <c r="C19" s="2">
        <f>HYPERLINK("https://svao.dolgi.msk.ru/account/1760060473/", 1760060473)</f>
        <v>1760060473</v>
      </c>
      <c r="D19">
        <v>3396.78</v>
      </c>
    </row>
    <row r="20" spans="1:4" x14ac:dyDescent="0.25">
      <c r="A20" t="s">
        <v>4</v>
      </c>
      <c r="B20" t="s">
        <v>24</v>
      </c>
      <c r="C20" s="2">
        <f>HYPERLINK("https://svao.dolgi.msk.ru/account/1760060545/", 1760060545)</f>
        <v>1760060545</v>
      </c>
      <c r="D20">
        <v>4159.1000000000004</v>
      </c>
    </row>
    <row r="21" spans="1:4" x14ac:dyDescent="0.25">
      <c r="A21" t="s">
        <v>4</v>
      </c>
      <c r="B21" t="s">
        <v>25</v>
      </c>
      <c r="C21" s="2">
        <f>HYPERLINK("https://svao.dolgi.msk.ru/account/1760060713/", 1760060713)</f>
        <v>1760060713</v>
      </c>
      <c r="D21">
        <v>3171.89</v>
      </c>
    </row>
    <row r="22" spans="1:4" x14ac:dyDescent="0.25">
      <c r="A22" t="s">
        <v>4</v>
      </c>
      <c r="B22" t="s">
        <v>26</v>
      </c>
      <c r="C22" s="2">
        <f>HYPERLINK("https://svao.dolgi.msk.ru/account/1760060756/", 1760060756)</f>
        <v>1760060756</v>
      </c>
      <c r="D22">
        <v>3871.28</v>
      </c>
    </row>
    <row r="23" spans="1:4" x14ac:dyDescent="0.25">
      <c r="A23" t="s">
        <v>4</v>
      </c>
      <c r="B23" t="s">
        <v>27</v>
      </c>
      <c r="C23" s="2">
        <f>HYPERLINK("https://svao.dolgi.msk.ru/account/1760060799/", 1760060799)</f>
        <v>1760060799</v>
      </c>
      <c r="D23">
        <v>10801.05</v>
      </c>
    </row>
    <row r="24" spans="1:4" x14ac:dyDescent="0.25">
      <c r="A24" t="s">
        <v>4</v>
      </c>
      <c r="B24" t="s">
        <v>28</v>
      </c>
      <c r="C24" s="2">
        <f>HYPERLINK("https://svao.dolgi.msk.ru/account/1760060879/", 1760060879)</f>
        <v>1760060879</v>
      </c>
      <c r="D24">
        <v>3730.05</v>
      </c>
    </row>
    <row r="25" spans="1:4" x14ac:dyDescent="0.25">
      <c r="A25" t="s">
        <v>4</v>
      </c>
      <c r="B25" t="s">
        <v>29</v>
      </c>
      <c r="C25" s="2">
        <f>HYPERLINK("https://svao.dolgi.msk.ru/account/1760060887/", 1760060887)</f>
        <v>1760060887</v>
      </c>
      <c r="D25">
        <v>5804.1</v>
      </c>
    </row>
    <row r="26" spans="1:4" x14ac:dyDescent="0.25">
      <c r="A26" t="s">
        <v>4</v>
      </c>
      <c r="B26" t="s">
        <v>30</v>
      </c>
      <c r="C26" s="2">
        <f>HYPERLINK("https://svao.dolgi.msk.ru/account/1760060916/", 1760060916)</f>
        <v>1760060916</v>
      </c>
      <c r="D26">
        <v>3195.65</v>
      </c>
    </row>
    <row r="27" spans="1:4" x14ac:dyDescent="0.25">
      <c r="A27" t="s">
        <v>4</v>
      </c>
      <c r="B27" t="s">
        <v>31</v>
      </c>
      <c r="C27" s="2">
        <f>HYPERLINK("https://svao.dolgi.msk.ru/account/1760060959/", 1760060959)</f>
        <v>1760060959</v>
      </c>
      <c r="D27">
        <v>5194.26</v>
      </c>
    </row>
    <row r="28" spans="1:4" x14ac:dyDescent="0.25">
      <c r="A28" t="s">
        <v>4</v>
      </c>
      <c r="B28" t="s">
        <v>32</v>
      </c>
      <c r="C28" s="2">
        <f>HYPERLINK("https://svao.dolgi.msk.ru/account/1760060991/", 1760060991)</f>
        <v>1760060991</v>
      </c>
      <c r="D28">
        <v>5604.86</v>
      </c>
    </row>
    <row r="29" spans="1:4" x14ac:dyDescent="0.25">
      <c r="A29" t="s">
        <v>4</v>
      </c>
      <c r="B29" t="s">
        <v>33</v>
      </c>
      <c r="C29" s="2">
        <f>HYPERLINK("https://svao.dolgi.msk.ru/account/1760061011/", 1760061011)</f>
        <v>1760061011</v>
      </c>
      <c r="D29">
        <v>16013.65</v>
      </c>
    </row>
    <row r="30" spans="1:4" x14ac:dyDescent="0.25">
      <c r="A30" t="s">
        <v>4</v>
      </c>
      <c r="B30" t="s">
        <v>34</v>
      </c>
      <c r="C30" s="2">
        <f>HYPERLINK("https://svao.dolgi.msk.ru/account/1760061038/", 1760061038)</f>
        <v>1760061038</v>
      </c>
      <c r="D30">
        <v>4233.09</v>
      </c>
    </row>
    <row r="31" spans="1:4" x14ac:dyDescent="0.25">
      <c r="A31" t="s">
        <v>4</v>
      </c>
      <c r="B31" t="s">
        <v>35</v>
      </c>
      <c r="C31" s="2">
        <f>HYPERLINK("https://svao.dolgi.msk.ru/account/1760061046/", 1760061046)</f>
        <v>1760061046</v>
      </c>
      <c r="D31">
        <v>2160.7600000000002</v>
      </c>
    </row>
    <row r="32" spans="1:4" x14ac:dyDescent="0.25">
      <c r="A32" t="s">
        <v>4</v>
      </c>
      <c r="B32" t="s">
        <v>36</v>
      </c>
      <c r="C32" s="2">
        <f>HYPERLINK("https://svao.dolgi.msk.ru/account/1760061126/", 1760061126)</f>
        <v>1760061126</v>
      </c>
      <c r="D32">
        <v>101.63</v>
      </c>
    </row>
    <row r="33" spans="1:4" x14ac:dyDescent="0.25">
      <c r="A33" t="s">
        <v>4</v>
      </c>
      <c r="B33" t="s">
        <v>37</v>
      </c>
      <c r="C33" s="2">
        <f>HYPERLINK("https://svao.dolgi.msk.ru/account/1760061177/", 1760061177)</f>
        <v>1760061177</v>
      </c>
      <c r="D33">
        <v>6267.46</v>
      </c>
    </row>
    <row r="34" spans="1:4" x14ac:dyDescent="0.25">
      <c r="A34" t="s">
        <v>4</v>
      </c>
      <c r="B34" t="s">
        <v>38</v>
      </c>
      <c r="C34" s="2">
        <f>HYPERLINK("https://svao.dolgi.msk.ru/account/1760061185/", 1760061185)</f>
        <v>1760061185</v>
      </c>
      <c r="D34">
        <v>3679.18</v>
      </c>
    </row>
    <row r="35" spans="1:4" x14ac:dyDescent="0.25">
      <c r="A35" t="s">
        <v>39</v>
      </c>
      <c r="B35" t="s">
        <v>40</v>
      </c>
      <c r="C35" s="2">
        <f>HYPERLINK("https://svao.dolgi.msk.ru/account/1760061206/", 1760061206)</f>
        <v>1760061206</v>
      </c>
      <c r="D35">
        <v>6915</v>
      </c>
    </row>
    <row r="36" spans="1:4" x14ac:dyDescent="0.25">
      <c r="A36" t="s">
        <v>39</v>
      </c>
      <c r="B36" t="s">
        <v>43</v>
      </c>
      <c r="C36" s="2">
        <f>HYPERLINK("https://svao.dolgi.msk.ru/account/1760061214/", 1760061214)</f>
        <v>1760061214</v>
      </c>
      <c r="D36">
        <v>198.44</v>
      </c>
    </row>
    <row r="37" spans="1:4" x14ac:dyDescent="0.25">
      <c r="A37" t="s">
        <v>39</v>
      </c>
      <c r="B37" t="s">
        <v>44</v>
      </c>
      <c r="C37" s="2">
        <f>HYPERLINK("https://svao.dolgi.msk.ru/account/1760061249/", 1760061249)</f>
        <v>1760061249</v>
      </c>
      <c r="D37">
        <v>8353.0300000000007</v>
      </c>
    </row>
    <row r="38" spans="1:4" x14ac:dyDescent="0.25">
      <c r="A38" t="s">
        <v>39</v>
      </c>
      <c r="B38" t="s">
        <v>45</v>
      </c>
      <c r="C38" s="2">
        <f>HYPERLINK("https://svao.dolgi.msk.ru/account/1760061329/", 1760061329)</f>
        <v>1760061329</v>
      </c>
      <c r="D38">
        <v>591655.81999999995</v>
      </c>
    </row>
    <row r="39" spans="1:4" x14ac:dyDescent="0.25">
      <c r="A39" t="s">
        <v>39</v>
      </c>
      <c r="B39" t="s">
        <v>46</v>
      </c>
      <c r="C39" s="2">
        <f>HYPERLINK("https://svao.dolgi.msk.ru/account/1760061388/", 1760061388)</f>
        <v>1760061388</v>
      </c>
      <c r="D39">
        <v>5156.43</v>
      </c>
    </row>
    <row r="40" spans="1:4" x14ac:dyDescent="0.25">
      <c r="A40" t="s">
        <v>39</v>
      </c>
      <c r="B40" t="s">
        <v>47</v>
      </c>
      <c r="C40" s="2">
        <f>HYPERLINK("https://svao.dolgi.msk.ru/account/1760061425/", 1760061425)</f>
        <v>1760061425</v>
      </c>
      <c r="D40">
        <v>5793.84</v>
      </c>
    </row>
    <row r="41" spans="1:4" x14ac:dyDescent="0.25">
      <c r="A41" t="s">
        <v>39</v>
      </c>
      <c r="B41" t="s">
        <v>48</v>
      </c>
      <c r="C41" s="2">
        <f>HYPERLINK("https://svao.dolgi.msk.ru/account/1760061468/", 1760061468)</f>
        <v>1760061468</v>
      </c>
      <c r="D41">
        <v>309.56</v>
      </c>
    </row>
    <row r="42" spans="1:4" x14ac:dyDescent="0.25">
      <c r="A42" t="s">
        <v>39</v>
      </c>
      <c r="B42" t="s">
        <v>49</v>
      </c>
      <c r="C42" s="2">
        <f>HYPERLINK("https://svao.dolgi.msk.ru/account/1760061476/", 1760061476)</f>
        <v>1760061476</v>
      </c>
      <c r="D42">
        <v>5729.07</v>
      </c>
    </row>
    <row r="43" spans="1:4" x14ac:dyDescent="0.25">
      <c r="A43" t="s">
        <v>39</v>
      </c>
      <c r="B43" t="s">
        <v>50</v>
      </c>
      <c r="C43" s="2">
        <f>HYPERLINK("https://svao.dolgi.msk.ru/account/1760061548/", 1760061548)</f>
        <v>1760061548</v>
      </c>
      <c r="D43">
        <v>3037.61</v>
      </c>
    </row>
    <row r="44" spans="1:4" x14ac:dyDescent="0.25">
      <c r="A44" t="s">
        <v>39</v>
      </c>
      <c r="B44" t="s">
        <v>51</v>
      </c>
      <c r="C44" s="2">
        <f>HYPERLINK("https://svao.dolgi.msk.ru/account/1760061556/", 1760061556)</f>
        <v>1760061556</v>
      </c>
      <c r="D44">
        <v>3491.45</v>
      </c>
    </row>
    <row r="45" spans="1:4" x14ac:dyDescent="0.25">
      <c r="A45" t="s">
        <v>39</v>
      </c>
      <c r="B45" t="s">
        <v>52</v>
      </c>
      <c r="C45" s="2">
        <f>HYPERLINK("https://svao.dolgi.msk.ru/account/1760061599/", 1760061599)</f>
        <v>1760061599</v>
      </c>
      <c r="D45">
        <v>3988.46</v>
      </c>
    </row>
    <row r="46" spans="1:4" x14ac:dyDescent="0.25">
      <c r="A46" t="s">
        <v>39</v>
      </c>
      <c r="B46" t="s">
        <v>53</v>
      </c>
      <c r="C46" s="2">
        <f>HYPERLINK("https://svao.dolgi.msk.ru/account/1760061724/", 1760061724)</f>
        <v>1760061724</v>
      </c>
      <c r="D46">
        <v>3850.5</v>
      </c>
    </row>
    <row r="47" spans="1:4" x14ac:dyDescent="0.25">
      <c r="A47" t="s">
        <v>39</v>
      </c>
      <c r="B47" t="s">
        <v>54</v>
      </c>
      <c r="C47" s="2">
        <f>HYPERLINK("https://svao.dolgi.msk.ru/account/1760061759/", 1760061759)</f>
        <v>1760061759</v>
      </c>
      <c r="D47">
        <v>4496.96</v>
      </c>
    </row>
    <row r="48" spans="1:4" x14ac:dyDescent="0.25">
      <c r="A48" t="s">
        <v>39</v>
      </c>
      <c r="B48" t="s">
        <v>55</v>
      </c>
      <c r="C48" s="2">
        <f>HYPERLINK("https://svao.dolgi.msk.ru/account/1760061839/", 1760061839)</f>
        <v>1760061839</v>
      </c>
      <c r="D48">
        <v>7252.53</v>
      </c>
    </row>
    <row r="49" spans="1:4" x14ac:dyDescent="0.25">
      <c r="A49" t="s">
        <v>39</v>
      </c>
      <c r="B49" t="s">
        <v>56</v>
      </c>
      <c r="C49" s="2">
        <f>HYPERLINK("https://svao.dolgi.msk.ru/account/1760061898/", 1760061898)</f>
        <v>1760061898</v>
      </c>
      <c r="D49">
        <v>4968.2</v>
      </c>
    </row>
    <row r="50" spans="1:4" x14ac:dyDescent="0.25">
      <c r="A50" t="s">
        <v>39</v>
      </c>
      <c r="B50" t="s">
        <v>57</v>
      </c>
      <c r="C50" s="2">
        <f>HYPERLINK("https://svao.dolgi.msk.ru/account/1760062049/", 1760062049)</f>
        <v>1760062049</v>
      </c>
      <c r="D50">
        <v>5297.87</v>
      </c>
    </row>
    <row r="51" spans="1:4" x14ac:dyDescent="0.25">
      <c r="A51" t="s">
        <v>39</v>
      </c>
      <c r="B51" t="s">
        <v>58</v>
      </c>
      <c r="C51" s="2">
        <f>HYPERLINK("https://svao.dolgi.msk.ru/account/1760062057/", 1760062057)</f>
        <v>1760062057</v>
      </c>
      <c r="D51">
        <v>12049.41</v>
      </c>
    </row>
    <row r="52" spans="1:4" x14ac:dyDescent="0.25">
      <c r="A52" t="s">
        <v>39</v>
      </c>
      <c r="B52" t="s">
        <v>59</v>
      </c>
      <c r="C52" s="2">
        <f>HYPERLINK("https://svao.dolgi.msk.ru/account/1760062081/", 1760062081)</f>
        <v>1760062081</v>
      </c>
      <c r="D52">
        <v>2770.73</v>
      </c>
    </row>
    <row r="53" spans="1:4" x14ac:dyDescent="0.25">
      <c r="A53" t="s">
        <v>39</v>
      </c>
      <c r="B53" t="s">
        <v>60</v>
      </c>
      <c r="C53" s="2">
        <f>HYPERLINK("https://svao.dolgi.msk.ru/account/1760062137/", 1760062137)</f>
        <v>1760062137</v>
      </c>
      <c r="D53">
        <v>3279.83</v>
      </c>
    </row>
    <row r="54" spans="1:4" x14ac:dyDescent="0.25">
      <c r="A54" t="s">
        <v>39</v>
      </c>
      <c r="B54" t="s">
        <v>61</v>
      </c>
      <c r="C54" s="2">
        <f>HYPERLINK("https://svao.dolgi.msk.ru/account/1760062188/", 1760062188)</f>
        <v>1760062188</v>
      </c>
      <c r="D54">
        <v>11357.99</v>
      </c>
    </row>
    <row r="55" spans="1:4" x14ac:dyDescent="0.25">
      <c r="A55" t="s">
        <v>39</v>
      </c>
      <c r="B55" t="s">
        <v>62</v>
      </c>
      <c r="C55" s="2">
        <f>HYPERLINK("https://svao.dolgi.msk.ru/account/1760062217/", 1760062217)</f>
        <v>1760062217</v>
      </c>
      <c r="D55">
        <v>6491.24</v>
      </c>
    </row>
    <row r="56" spans="1:4" x14ac:dyDescent="0.25">
      <c r="A56" t="s">
        <v>39</v>
      </c>
      <c r="B56" t="s">
        <v>63</v>
      </c>
      <c r="C56" s="2">
        <f>HYPERLINK("https://svao.dolgi.msk.ru/account/1760062268/", 1760062268)</f>
        <v>1760062268</v>
      </c>
      <c r="D56">
        <v>2357.04</v>
      </c>
    </row>
    <row r="57" spans="1:4" x14ac:dyDescent="0.25">
      <c r="A57" t="s">
        <v>39</v>
      </c>
      <c r="B57" t="s">
        <v>64</v>
      </c>
      <c r="C57" s="2">
        <f>HYPERLINK("https://svao.dolgi.msk.ru/account/1760062284/", 1760062284)</f>
        <v>1760062284</v>
      </c>
      <c r="D57">
        <v>6088.38</v>
      </c>
    </row>
    <row r="58" spans="1:4" x14ac:dyDescent="0.25">
      <c r="A58" t="s">
        <v>39</v>
      </c>
      <c r="B58" t="s">
        <v>65</v>
      </c>
      <c r="C58" s="2">
        <f>HYPERLINK("https://svao.dolgi.msk.ru/account/1760062292/", 1760062292)</f>
        <v>1760062292</v>
      </c>
      <c r="D58">
        <v>5912.86</v>
      </c>
    </row>
    <row r="59" spans="1:4" x14ac:dyDescent="0.25">
      <c r="A59" t="s">
        <v>39</v>
      </c>
      <c r="B59" t="s">
        <v>66</v>
      </c>
      <c r="C59" s="2">
        <f>HYPERLINK("https://svao.dolgi.msk.ru/account/1760062305/", 1760062305)</f>
        <v>1760062305</v>
      </c>
      <c r="D59">
        <v>3459.21</v>
      </c>
    </row>
    <row r="60" spans="1:4" x14ac:dyDescent="0.25">
      <c r="A60" t="s">
        <v>39</v>
      </c>
      <c r="B60" t="s">
        <v>67</v>
      </c>
      <c r="C60" s="2">
        <f>HYPERLINK("https://svao.dolgi.msk.ru/account/1760062348/", 1760062348)</f>
        <v>1760062348</v>
      </c>
      <c r="D60">
        <v>2070.9899999999998</v>
      </c>
    </row>
    <row r="61" spans="1:4" x14ac:dyDescent="0.25">
      <c r="A61" t="s">
        <v>39</v>
      </c>
      <c r="B61" t="s">
        <v>68</v>
      </c>
      <c r="C61" s="2">
        <f>HYPERLINK("https://svao.dolgi.msk.ru/account/1760062436/", 1760062436)</f>
        <v>1760062436</v>
      </c>
      <c r="D61">
        <v>1421.27</v>
      </c>
    </row>
    <row r="62" spans="1:4" x14ac:dyDescent="0.25">
      <c r="A62" t="s">
        <v>39</v>
      </c>
      <c r="B62" t="s">
        <v>69</v>
      </c>
      <c r="C62" s="2">
        <f>HYPERLINK("https://svao.dolgi.msk.ru/account/1760062487/", 1760062487)</f>
        <v>1760062487</v>
      </c>
      <c r="D62">
        <v>5429</v>
      </c>
    </row>
    <row r="63" spans="1:4" x14ac:dyDescent="0.25">
      <c r="A63" t="s">
        <v>39</v>
      </c>
      <c r="B63" t="s">
        <v>70</v>
      </c>
      <c r="C63" s="2">
        <f>HYPERLINK("https://svao.dolgi.msk.ru/account/1760062508/", 1760062508)</f>
        <v>1760062508</v>
      </c>
      <c r="D63">
        <v>2947.06</v>
      </c>
    </row>
    <row r="64" spans="1:4" x14ac:dyDescent="0.25">
      <c r="A64" t="s">
        <v>39</v>
      </c>
      <c r="B64" t="s">
        <v>71</v>
      </c>
      <c r="C64" s="2">
        <f>HYPERLINK("https://svao.dolgi.msk.ru/account/1760062532/", 1760062532)</f>
        <v>1760062532</v>
      </c>
      <c r="D64">
        <v>4266.1400000000003</v>
      </c>
    </row>
    <row r="65" spans="1:4" x14ac:dyDescent="0.25">
      <c r="A65" t="s">
        <v>72</v>
      </c>
      <c r="B65" t="s">
        <v>6</v>
      </c>
      <c r="C65" s="2">
        <f>HYPERLINK("https://svao.dolgi.msk.ru/account/1760049741/", 1760049741)</f>
        <v>1760049741</v>
      </c>
      <c r="D65">
        <v>2232.85</v>
      </c>
    </row>
    <row r="66" spans="1:4" x14ac:dyDescent="0.25">
      <c r="A66" t="s">
        <v>72</v>
      </c>
      <c r="B66" t="s">
        <v>73</v>
      </c>
      <c r="C66" s="2">
        <f>HYPERLINK("https://svao.dolgi.msk.ru/account/1760049848/", 1760049848)</f>
        <v>1760049848</v>
      </c>
      <c r="D66">
        <v>5548.53</v>
      </c>
    </row>
    <row r="67" spans="1:4" x14ac:dyDescent="0.25">
      <c r="A67" t="s">
        <v>72</v>
      </c>
      <c r="B67" t="s">
        <v>74</v>
      </c>
      <c r="C67" s="2">
        <f>HYPERLINK("https://svao.dolgi.msk.ru/account/1760049872/", 1760049872)</f>
        <v>1760049872</v>
      </c>
      <c r="D67">
        <v>9534.73</v>
      </c>
    </row>
    <row r="68" spans="1:4" x14ac:dyDescent="0.25">
      <c r="A68" t="s">
        <v>72</v>
      </c>
      <c r="B68" t="s">
        <v>75</v>
      </c>
      <c r="C68" s="2">
        <f>HYPERLINK("https://svao.dolgi.msk.ru/account/1760049928/", 1760049928)</f>
        <v>1760049928</v>
      </c>
      <c r="D68">
        <v>4090.25</v>
      </c>
    </row>
    <row r="69" spans="1:4" x14ac:dyDescent="0.25">
      <c r="A69" t="s">
        <v>72</v>
      </c>
      <c r="B69" t="s">
        <v>11</v>
      </c>
      <c r="C69" s="2">
        <f>HYPERLINK("https://svao.dolgi.msk.ru/account/1760049979/", 1760049979)</f>
        <v>1760049979</v>
      </c>
      <c r="D69">
        <v>12872.37</v>
      </c>
    </row>
    <row r="70" spans="1:4" x14ac:dyDescent="0.25">
      <c r="A70" t="s">
        <v>72</v>
      </c>
      <c r="B70" t="s">
        <v>12</v>
      </c>
      <c r="C70" s="2">
        <f>HYPERLINK("https://svao.dolgi.msk.ru/account/1760049987/", 1760049987)</f>
        <v>1760049987</v>
      </c>
      <c r="D70">
        <v>9701.2900000000009</v>
      </c>
    </row>
    <row r="71" spans="1:4" x14ac:dyDescent="0.25">
      <c r="A71" t="s">
        <v>72</v>
      </c>
      <c r="B71" t="s">
        <v>14</v>
      </c>
      <c r="C71" s="2">
        <f>HYPERLINK("https://svao.dolgi.msk.ru/account/1760050005/", 1760050005)</f>
        <v>1760050005</v>
      </c>
      <c r="D71">
        <v>8775.26</v>
      </c>
    </row>
    <row r="72" spans="1:4" x14ac:dyDescent="0.25">
      <c r="A72" t="s">
        <v>72</v>
      </c>
      <c r="B72" t="s">
        <v>16</v>
      </c>
      <c r="C72" s="2">
        <f>HYPERLINK("https://svao.dolgi.msk.ru/account/1760050064/", 1760050064)</f>
        <v>1760050064</v>
      </c>
      <c r="D72">
        <v>6787.98</v>
      </c>
    </row>
    <row r="73" spans="1:4" x14ac:dyDescent="0.25">
      <c r="A73" t="s">
        <v>72</v>
      </c>
      <c r="B73" t="s">
        <v>17</v>
      </c>
      <c r="C73" s="2">
        <f>HYPERLINK("https://svao.dolgi.msk.ru/account/1760050072/", 1760050072)</f>
        <v>1760050072</v>
      </c>
      <c r="D73">
        <v>46488.24</v>
      </c>
    </row>
    <row r="74" spans="1:4" x14ac:dyDescent="0.25">
      <c r="A74" t="s">
        <v>72</v>
      </c>
      <c r="B74" t="s">
        <v>20</v>
      </c>
      <c r="C74" s="2">
        <f>HYPERLINK("https://svao.dolgi.msk.ru/account/1760050144/", 1760050144)</f>
        <v>1760050144</v>
      </c>
      <c r="D74">
        <v>874.2</v>
      </c>
    </row>
    <row r="75" spans="1:4" x14ac:dyDescent="0.25">
      <c r="A75" t="s">
        <v>72</v>
      </c>
      <c r="B75" t="s">
        <v>76</v>
      </c>
      <c r="C75" s="2">
        <f>HYPERLINK("https://svao.dolgi.msk.ru/account/1760050152/", 1760050152)</f>
        <v>1760050152</v>
      </c>
      <c r="D75">
        <v>14490.18</v>
      </c>
    </row>
    <row r="76" spans="1:4" x14ac:dyDescent="0.25">
      <c r="A76" t="s">
        <v>72</v>
      </c>
      <c r="B76" t="s">
        <v>77</v>
      </c>
      <c r="C76" s="2">
        <f>HYPERLINK("https://svao.dolgi.msk.ru/account/1760050259/", 1760050259)</f>
        <v>1760050259</v>
      </c>
      <c r="D76">
        <v>3891.3</v>
      </c>
    </row>
    <row r="77" spans="1:4" x14ac:dyDescent="0.25">
      <c r="A77" t="s">
        <v>72</v>
      </c>
      <c r="B77" t="s">
        <v>78</v>
      </c>
      <c r="C77" s="2">
        <f>HYPERLINK("https://svao.dolgi.msk.ru/account/1760050275/", 1760050275)</f>
        <v>1760050275</v>
      </c>
      <c r="D77">
        <v>11134.09</v>
      </c>
    </row>
    <row r="78" spans="1:4" x14ac:dyDescent="0.25">
      <c r="A78" t="s">
        <v>72</v>
      </c>
      <c r="B78" t="s">
        <v>79</v>
      </c>
      <c r="C78" s="2">
        <f>HYPERLINK("https://svao.dolgi.msk.ru/account/1760050291/", 1760050291)</f>
        <v>1760050291</v>
      </c>
      <c r="D78">
        <v>6219.66</v>
      </c>
    </row>
    <row r="79" spans="1:4" x14ac:dyDescent="0.25">
      <c r="A79" t="s">
        <v>72</v>
      </c>
      <c r="B79" t="s">
        <v>80</v>
      </c>
      <c r="C79" s="2">
        <f>HYPERLINK("https://svao.dolgi.msk.ru/account/1760050451/", 1760050451)</f>
        <v>1760050451</v>
      </c>
      <c r="D79">
        <v>122694.2</v>
      </c>
    </row>
    <row r="80" spans="1:4" x14ac:dyDescent="0.25">
      <c r="A80" t="s">
        <v>72</v>
      </c>
      <c r="B80" t="s">
        <v>81</v>
      </c>
      <c r="C80" s="2">
        <f>HYPERLINK("https://svao.dolgi.msk.ru/account/1760050494/", 1760050494)</f>
        <v>1760050494</v>
      </c>
      <c r="D80">
        <v>7596.37</v>
      </c>
    </row>
    <row r="81" spans="1:4" x14ac:dyDescent="0.25">
      <c r="A81" t="s">
        <v>72</v>
      </c>
      <c r="B81" t="s">
        <v>82</v>
      </c>
      <c r="C81" s="2">
        <f>HYPERLINK("https://svao.dolgi.msk.ru/account/1760050523/", 1760050523)</f>
        <v>1760050523</v>
      </c>
      <c r="D81">
        <v>4603.8100000000004</v>
      </c>
    </row>
    <row r="82" spans="1:4" x14ac:dyDescent="0.25">
      <c r="A82" t="s">
        <v>72</v>
      </c>
      <c r="B82" t="s">
        <v>25</v>
      </c>
      <c r="C82" s="2">
        <f>HYPERLINK("https://svao.dolgi.msk.ru/account/1760050558/", 1760050558)</f>
        <v>1760050558</v>
      </c>
      <c r="D82">
        <v>13063.55</v>
      </c>
    </row>
    <row r="83" spans="1:4" x14ac:dyDescent="0.25">
      <c r="A83" t="s">
        <v>72</v>
      </c>
      <c r="B83" t="s">
        <v>25</v>
      </c>
      <c r="C83" s="2">
        <f>HYPERLINK("https://svao.dolgi.msk.ru/account/1761795674/", 1761795674)</f>
        <v>1761795674</v>
      </c>
      <c r="D83">
        <v>5942.31</v>
      </c>
    </row>
    <row r="84" spans="1:4" x14ac:dyDescent="0.25">
      <c r="A84" t="s">
        <v>72</v>
      </c>
      <c r="B84" t="s">
        <v>83</v>
      </c>
      <c r="C84" s="2">
        <f>HYPERLINK("https://svao.dolgi.msk.ru/account/1760050566/", 1760050566)</f>
        <v>1760050566</v>
      </c>
      <c r="D84">
        <v>6301.71</v>
      </c>
    </row>
    <row r="85" spans="1:4" x14ac:dyDescent="0.25">
      <c r="A85" t="s">
        <v>72</v>
      </c>
      <c r="B85" t="s">
        <v>28</v>
      </c>
      <c r="C85" s="2">
        <f>HYPERLINK("https://svao.dolgi.msk.ru/account/1760050718/", 1760050718)</f>
        <v>1760050718</v>
      </c>
      <c r="D85">
        <v>5893.07</v>
      </c>
    </row>
    <row r="86" spans="1:4" x14ac:dyDescent="0.25">
      <c r="A86" t="s">
        <v>72</v>
      </c>
      <c r="B86" t="s">
        <v>84</v>
      </c>
      <c r="C86" s="2">
        <f>HYPERLINK("https://svao.dolgi.msk.ru/account/1760050785/", 1760050785)</f>
        <v>1760050785</v>
      </c>
      <c r="D86">
        <v>3658.25</v>
      </c>
    </row>
    <row r="87" spans="1:4" x14ac:dyDescent="0.25">
      <c r="A87" t="s">
        <v>72</v>
      </c>
      <c r="B87" t="s">
        <v>31</v>
      </c>
      <c r="C87" s="2">
        <f>HYPERLINK("https://svao.dolgi.msk.ru/account/1760050793/", 1760050793)</f>
        <v>1760050793</v>
      </c>
      <c r="D87">
        <v>22954.7</v>
      </c>
    </row>
    <row r="88" spans="1:4" x14ac:dyDescent="0.25">
      <c r="A88" t="s">
        <v>72</v>
      </c>
      <c r="B88" t="s">
        <v>32</v>
      </c>
      <c r="C88" s="2">
        <f>HYPERLINK("https://svao.dolgi.msk.ru/account/1760050849/", 1760050849)</f>
        <v>1760050849</v>
      </c>
      <c r="D88">
        <v>5699.02</v>
      </c>
    </row>
    <row r="89" spans="1:4" x14ac:dyDescent="0.25">
      <c r="A89" t="s">
        <v>72</v>
      </c>
      <c r="B89" t="s">
        <v>85</v>
      </c>
      <c r="C89" s="2">
        <f>HYPERLINK("https://svao.dolgi.msk.ru/account/1760050857/", 1760050857)</f>
        <v>1760050857</v>
      </c>
      <c r="D89">
        <v>3768.84</v>
      </c>
    </row>
    <row r="90" spans="1:4" x14ac:dyDescent="0.25">
      <c r="A90" t="s">
        <v>72</v>
      </c>
      <c r="B90" t="s">
        <v>35</v>
      </c>
      <c r="C90" s="2">
        <f>HYPERLINK("https://svao.dolgi.msk.ru/account/1760050881/", 1760050881)</f>
        <v>1760050881</v>
      </c>
      <c r="D90">
        <v>5161.3500000000004</v>
      </c>
    </row>
    <row r="91" spans="1:4" x14ac:dyDescent="0.25">
      <c r="A91" t="s">
        <v>72</v>
      </c>
      <c r="B91" t="s">
        <v>86</v>
      </c>
      <c r="C91" s="2">
        <f>HYPERLINK("https://svao.dolgi.msk.ru/account/1760050937/", 1760050937)</f>
        <v>1760050937</v>
      </c>
      <c r="D91">
        <v>5607.73</v>
      </c>
    </row>
    <row r="92" spans="1:4" x14ac:dyDescent="0.25">
      <c r="A92" t="s">
        <v>72</v>
      </c>
      <c r="B92" t="s">
        <v>87</v>
      </c>
      <c r="C92" s="2">
        <f>HYPERLINK("https://svao.dolgi.msk.ru/account/1760050953/", 1760050953)</f>
        <v>1760050953</v>
      </c>
      <c r="D92">
        <v>650722.81999999995</v>
      </c>
    </row>
    <row r="93" spans="1:4" x14ac:dyDescent="0.25">
      <c r="A93" t="s">
        <v>72</v>
      </c>
      <c r="B93" t="s">
        <v>88</v>
      </c>
      <c r="C93" s="2">
        <f>HYPERLINK("https://svao.dolgi.msk.ru/account/1760050988/", 1760050988)</f>
        <v>1760050988</v>
      </c>
      <c r="D93">
        <v>4898.93</v>
      </c>
    </row>
    <row r="94" spans="1:4" x14ac:dyDescent="0.25">
      <c r="A94" t="s">
        <v>72</v>
      </c>
      <c r="B94" t="s">
        <v>38</v>
      </c>
      <c r="C94" s="2">
        <f>HYPERLINK("https://svao.dolgi.msk.ru/account/1760051024/", 1760051024)</f>
        <v>1760051024</v>
      </c>
      <c r="D94">
        <v>12324.4</v>
      </c>
    </row>
    <row r="95" spans="1:4" x14ac:dyDescent="0.25">
      <c r="A95" t="s">
        <v>72</v>
      </c>
      <c r="B95" t="s">
        <v>43</v>
      </c>
      <c r="C95" s="2">
        <f>HYPERLINK("https://svao.dolgi.msk.ru/account/1760051067/", 1760051067)</f>
        <v>1760051067</v>
      </c>
      <c r="D95">
        <v>144622.34</v>
      </c>
    </row>
    <row r="96" spans="1:4" x14ac:dyDescent="0.25">
      <c r="A96" t="s">
        <v>72</v>
      </c>
      <c r="B96" t="s">
        <v>89</v>
      </c>
      <c r="C96" s="2">
        <f>HYPERLINK("https://svao.dolgi.msk.ru/account/1760051091/", 1760051091)</f>
        <v>1760051091</v>
      </c>
      <c r="D96">
        <v>3824.42</v>
      </c>
    </row>
    <row r="97" spans="1:4" x14ac:dyDescent="0.25">
      <c r="A97" t="s">
        <v>90</v>
      </c>
      <c r="B97" t="s">
        <v>41</v>
      </c>
      <c r="C97" s="2">
        <f>HYPERLINK("https://svao.dolgi.msk.ru/account/1760194818/", 1760194818)</f>
        <v>1760194818</v>
      </c>
      <c r="D97">
        <v>5408.62</v>
      </c>
    </row>
    <row r="98" spans="1:4" x14ac:dyDescent="0.25">
      <c r="A98" t="s">
        <v>90</v>
      </c>
      <c r="B98" t="s">
        <v>5</v>
      </c>
      <c r="C98" s="2">
        <f>HYPERLINK("https://svao.dolgi.msk.ru/account/1760194826/", 1760194826)</f>
        <v>1760194826</v>
      </c>
      <c r="D98">
        <v>302846.84999999998</v>
      </c>
    </row>
    <row r="99" spans="1:4" x14ac:dyDescent="0.25">
      <c r="A99" t="s">
        <v>90</v>
      </c>
      <c r="B99" t="s">
        <v>74</v>
      </c>
      <c r="C99" s="2">
        <f>HYPERLINK("https://svao.dolgi.msk.ru/account/1760194922/", 1760194922)</f>
        <v>1760194922</v>
      </c>
      <c r="D99">
        <v>3327.11</v>
      </c>
    </row>
    <row r="100" spans="1:4" x14ac:dyDescent="0.25">
      <c r="A100" t="s">
        <v>90</v>
      </c>
      <c r="B100" t="s">
        <v>91</v>
      </c>
      <c r="C100" s="2">
        <f>HYPERLINK("https://svao.dolgi.msk.ru/account/1760194973/", 1760194973)</f>
        <v>1760194973</v>
      </c>
      <c r="D100">
        <v>5809.51</v>
      </c>
    </row>
    <row r="101" spans="1:4" x14ac:dyDescent="0.25">
      <c r="A101" t="s">
        <v>90</v>
      </c>
      <c r="B101" t="s">
        <v>17</v>
      </c>
      <c r="C101" s="2">
        <f>HYPERLINK("https://svao.dolgi.msk.ru/account/1760195124/", 1760195124)</f>
        <v>1760195124</v>
      </c>
      <c r="D101">
        <v>3402.28</v>
      </c>
    </row>
    <row r="102" spans="1:4" x14ac:dyDescent="0.25">
      <c r="A102" t="s">
        <v>90</v>
      </c>
      <c r="B102" t="s">
        <v>18</v>
      </c>
      <c r="C102" s="2">
        <f>HYPERLINK("https://svao.dolgi.msk.ru/account/1760195132/", 1760195132)</f>
        <v>1760195132</v>
      </c>
      <c r="D102">
        <v>3275.19</v>
      </c>
    </row>
    <row r="103" spans="1:4" x14ac:dyDescent="0.25">
      <c r="A103" t="s">
        <v>90</v>
      </c>
      <c r="B103" t="s">
        <v>19</v>
      </c>
      <c r="C103" s="2">
        <f>HYPERLINK("https://svao.dolgi.msk.ru/account/1760195159/", 1760195159)</f>
        <v>1760195159</v>
      </c>
      <c r="D103">
        <v>137004.85</v>
      </c>
    </row>
    <row r="104" spans="1:4" x14ac:dyDescent="0.25">
      <c r="A104" t="s">
        <v>90</v>
      </c>
      <c r="B104" t="s">
        <v>92</v>
      </c>
      <c r="C104" s="2">
        <f>HYPERLINK("https://svao.dolgi.msk.ru/account/1760195204/", 1760195204)</f>
        <v>1760195204</v>
      </c>
      <c r="D104">
        <v>62199.3</v>
      </c>
    </row>
    <row r="105" spans="1:4" x14ac:dyDescent="0.25">
      <c r="A105" t="s">
        <v>90</v>
      </c>
      <c r="B105" t="s">
        <v>93</v>
      </c>
      <c r="C105" s="2">
        <f>HYPERLINK("https://svao.dolgi.msk.ru/account/1760195212/", 1760195212)</f>
        <v>1760195212</v>
      </c>
      <c r="D105">
        <v>3488.48</v>
      </c>
    </row>
    <row r="106" spans="1:4" x14ac:dyDescent="0.25">
      <c r="A106" t="s">
        <v>90</v>
      </c>
      <c r="B106" t="s">
        <v>94</v>
      </c>
      <c r="C106" s="2">
        <f>HYPERLINK("https://svao.dolgi.msk.ru/account/1760195247/", 1760195247)</f>
        <v>1760195247</v>
      </c>
      <c r="D106">
        <v>2529.39</v>
      </c>
    </row>
    <row r="107" spans="1:4" x14ac:dyDescent="0.25">
      <c r="A107" t="s">
        <v>90</v>
      </c>
      <c r="B107" t="s">
        <v>79</v>
      </c>
      <c r="C107" s="2">
        <f>HYPERLINK("https://svao.dolgi.msk.ru/account/1760195343/", 1760195343)</f>
        <v>1760195343</v>
      </c>
      <c r="D107">
        <v>5204.95</v>
      </c>
    </row>
    <row r="108" spans="1:4" x14ac:dyDescent="0.25">
      <c r="A108" t="s">
        <v>90</v>
      </c>
      <c r="B108" t="s">
        <v>23</v>
      </c>
      <c r="C108" s="2">
        <f>HYPERLINK("https://svao.dolgi.msk.ru/account/1760195351/", 1760195351)</f>
        <v>1760195351</v>
      </c>
      <c r="D108">
        <v>7752.92</v>
      </c>
    </row>
    <row r="109" spans="1:4" x14ac:dyDescent="0.25">
      <c r="A109" t="s">
        <v>90</v>
      </c>
      <c r="B109" t="s">
        <v>24</v>
      </c>
      <c r="C109" s="2">
        <f>HYPERLINK("https://svao.dolgi.msk.ru/account/1760195415/", 1760195415)</f>
        <v>1760195415</v>
      </c>
      <c r="D109">
        <v>4401.08</v>
      </c>
    </row>
    <row r="110" spans="1:4" x14ac:dyDescent="0.25">
      <c r="A110" t="s">
        <v>90</v>
      </c>
      <c r="B110" t="s">
        <v>95</v>
      </c>
      <c r="C110" s="2">
        <f>HYPERLINK("https://svao.dolgi.msk.ru/account/1760195458/", 1760195458)</f>
        <v>1760195458</v>
      </c>
      <c r="D110">
        <v>21535.03</v>
      </c>
    </row>
    <row r="111" spans="1:4" x14ac:dyDescent="0.25">
      <c r="A111" t="s">
        <v>90</v>
      </c>
      <c r="B111" t="s">
        <v>26</v>
      </c>
      <c r="C111" s="2">
        <f>HYPERLINK("https://svao.dolgi.msk.ru/account/1760195642/", 1760195642)</f>
        <v>1760195642</v>
      </c>
      <c r="D111">
        <v>8909.2900000000009</v>
      </c>
    </row>
    <row r="112" spans="1:4" x14ac:dyDescent="0.25">
      <c r="A112" t="s">
        <v>90</v>
      </c>
      <c r="B112" t="s">
        <v>96</v>
      </c>
      <c r="C112" s="2">
        <f>HYPERLINK("https://svao.dolgi.msk.ru/account/1760195677/", 1760195677)</f>
        <v>1760195677</v>
      </c>
      <c r="D112">
        <v>4501.84</v>
      </c>
    </row>
    <row r="113" spans="1:4" x14ac:dyDescent="0.25">
      <c r="A113" t="s">
        <v>90</v>
      </c>
      <c r="B113" t="s">
        <v>29</v>
      </c>
      <c r="C113" s="2">
        <f>HYPERLINK("https://svao.dolgi.msk.ru/account/1760195765/", 1760195765)</f>
        <v>1760195765</v>
      </c>
      <c r="D113">
        <v>3883.62</v>
      </c>
    </row>
    <row r="114" spans="1:4" x14ac:dyDescent="0.25">
      <c r="A114" t="s">
        <v>90</v>
      </c>
      <c r="B114" t="s">
        <v>97</v>
      </c>
      <c r="C114" s="2">
        <f>HYPERLINK("https://svao.dolgi.msk.ru/account/1760195829/", 1760195829)</f>
        <v>1760195829</v>
      </c>
      <c r="D114">
        <v>4234.2</v>
      </c>
    </row>
    <row r="115" spans="1:4" x14ac:dyDescent="0.25">
      <c r="A115" t="s">
        <v>90</v>
      </c>
      <c r="B115" t="s">
        <v>98</v>
      </c>
      <c r="C115" s="2">
        <f>HYPERLINK("https://svao.dolgi.msk.ru/account/1760195853/", 1760195853)</f>
        <v>1760195853</v>
      </c>
      <c r="D115">
        <v>4395.54</v>
      </c>
    </row>
    <row r="116" spans="1:4" x14ac:dyDescent="0.25">
      <c r="A116" t="s">
        <v>90</v>
      </c>
      <c r="B116" t="s">
        <v>32</v>
      </c>
      <c r="C116" s="2">
        <f>HYPERLINK("https://svao.dolgi.msk.ru/account/1760195896/", 1760195896)</f>
        <v>1760195896</v>
      </c>
      <c r="D116">
        <v>8892.66</v>
      </c>
    </row>
    <row r="117" spans="1:4" x14ac:dyDescent="0.25">
      <c r="A117" t="s">
        <v>90</v>
      </c>
      <c r="B117" t="s">
        <v>85</v>
      </c>
      <c r="C117" s="2">
        <f>HYPERLINK("https://svao.dolgi.msk.ru/account/1760195909/", 1760195909)</f>
        <v>1760195909</v>
      </c>
      <c r="D117">
        <v>2485.13</v>
      </c>
    </row>
    <row r="118" spans="1:4" x14ac:dyDescent="0.25">
      <c r="A118" t="s">
        <v>90</v>
      </c>
      <c r="B118" t="s">
        <v>35</v>
      </c>
      <c r="C118" s="2">
        <f>HYPERLINK("https://svao.dolgi.msk.ru/account/1760195933/", 1760195933)</f>
        <v>1760195933</v>
      </c>
      <c r="D118">
        <v>7119.25</v>
      </c>
    </row>
    <row r="119" spans="1:4" x14ac:dyDescent="0.25">
      <c r="A119" t="s">
        <v>90</v>
      </c>
      <c r="B119" t="s">
        <v>99</v>
      </c>
      <c r="C119" s="2">
        <f>HYPERLINK("https://svao.dolgi.msk.ru/account/1760195941/", 1760195941)</f>
        <v>1760195941</v>
      </c>
      <c r="D119">
        <v>4867.16</v>
      </c>
    </row>
    <row r="120" spans="1:4" x14ac:dyDescent="0.25">
      <c r="A120" t="s">
        <v>90</v>
      </c>
      <c r="B120" t="s">
        <v>37</v>
      </c>
      <c r="C120" s="2">
        <f>HYPERLINK("https://svao.dolgi.msk.ru/account/1760196055/", 1760196055)</f>
        <v>1760196055</v>
      </c>
      <c r="D120">
        <v>9785.25</v>
      </c>
    </row>
    <row r="121" spans="1:4" x14ac:dyDescent="0.25">
      <c r="A121" t="s">
        <v>100</v>
      </c>
      <c r="B121" t="s">
        <v>6</v>
      </c>
      <c r="C121" s="2">
        <f>HYPERLINK("https://svao.dolgi.msk.ru/account/1761779324/", 1761779324)</f>
        <v>1761779324</v>
      </c>
      <c r="D121">
        <v>6302.97</v>
      </c>
    </row>
    <row r="122" spans="1:4" x14ac:dyDescent="0.25">
      <c r="A122" t="s">
        <v>100</v>
      </c>
      <c r="B122" t="s">
        <v>41</v>
      </c>
      <c r="C122" s="2">
        <f>HYPERLINK("https://svao.dolgi.msk.ru/account/1761782099/", 1761782099)</f>
        <v>1761782099</v>
      </c>
      <c r="D122">
        <v>5140.3</v>
      </c>
    </row>
    <row r="123" spans="1:4" x14ac:dyDescent="0.25">
      <c r="A123" t="s">
        <v>100</v>
      </c>
      <c r="B123" t="s">
        <v>5</v>
      </c>
      <c r="C123" s="2">
        <f>HYPERLINK("https://svao.dolgi.msk.ru/account/1761782101/", 1761782101)</f>
        <v>1761782101</v>
      </c>
      <c r="D123">
        <v>6747.2</v>
      </c>
    </row>
    <row r="124" spans="1:4" x14ac:dyDescent="0.25">
      <c r="A124" t="s">
        <v>100</v>
      </c>
      <c r="B124" t="s">
        <v>7</v>
      </c>
      <c r="C124" s="2">
        <f>HYPERLINK("https://svao.dolgi.msk.ru/account/1761782128/", 1761782128)</f>
        <v>1761782128</v>
      </c>
      <c r="D124">
        <v>2513.4899999999998</v>
      </c>
    </row>
    <row r="125" spans="1:4" x14ac:dyDescent="0.25">
      <c r="A125" t="s">
        <v>100</v>
      </c>
      <c r="B125" t="s">
        <v>101</v>
      </c>
      <c r="C125" s="2">
        <f>HYPERLINK("https://svao.dolgi.msk.ru/account/1761782136/", 1761782136)</f>
        <v>1761782136</v>
      </c>
      <c r="D125">
        <v>5225.4799999999996</v>
      </c>
    </row>
    <row r="126" spans="1:4" x14ac:dyDescent="0.25">
      <c r="A126" t="s">
        <v>100</v>
      </c>
      <c r="B126" t="s">
        <v>102</v>
      </c>
      <c r="C126" s="2">
        <f>HYPERLINK("https://svao.dolgi.msk.ru/account/1761782152/", 1761782152)</f>
        <v>1761782152</v>
      </c>
      <c r="D126">
        <v>6798.57</v>
      </c>
    </row>
    <row r="127" spans="1:4" x14ac:dyDescent="0.25">
      <c r="A127" t="s">
        <v>100</v>
      </c>
      <c r="B127" t="s">
        <v>103</v>
      </c>
      <c r="C127" s="2">
        <f>HYPERLINK("https://svao.dolgi.msk.ru/account/1761782179/", 1761782179)</f>
        <v>1761782179</v>
      </c>
      <c r="D127">
        <v>5539</v>
      </c>
    </row>
    <row r="128" spans="1:4" x14ac:dyDescent="0.25">
      <c r="A128" t="s">
        <v>100</v>
      </c>
      <c r="B128" t="s">
        <v>73</v>
      </c>
      <c r="C128" s="2">
        <f>HYPERLINK("https://svao.dolgi.msk.ru/account/1761782187/", 1761782187)</f>
        <v>1761782187</v>
      </c>
      <c r="D128">
        <v>3202</v>
      </c>
    </row>
    <row r="129" spans="1:4" x14ac:dyDescent="0.25">
      <c r="A129" t="s">
        <v>100</v>
      </c>
      <c r="B129" t="s">
        <v>104</v>
      </c>
      <c r="C129" s="2">
        <f>HYPERLINK("https://svao.dolgi.msk.ru/account/1761782195/", 1761782195)</f>
        <v>1761782195</v>
      </c>
      <c r="D129">
        <v>3222.23</v>
      </c>
    </row>
    <row r="130" spans="1:4" x14ac:dyDescent="0.25">
      <c r="A130" t="s">
        <v>100</v>
      </c>
      <c r="B130" t="s">
        <v>8</v>
      </c>
      <c r="C130" s="2">
        <f>HYPERLINK("https://svao.dolgi.msk.ru/account/1761782208/", 1761782208)</f>
        <v>1761782208</v>
      </c>
      <c r="D130">
        <v>3798.89</v>
      </c>
    </row>
    <row r="131" spans="1:4" x14ac:dyDescent="0.25">
      <c r="A131" t="s">
        <v>100</v>
      </c>
      <c r="B131" t="s">
        <v>105</v>
      </c>
      <c r="C131" s="2">
        <f>HYPERLINK("https://svao.dolgi.msk.ru/account/1761782216/", 1761782216)</f>
        <v>1761782216</v>
      </c>
      <c r="D131">
        <v>7589.42</v>
      </c>
    </row>
    <row r="132" spans="1:4" x14ac:dyDescent="0.25">
      <c r="A132" t="s">
        <v>100</v>
      </c>
      <c r="B132" t="s">
        <v>75</v>
      </c>
      <c r="C132" s="2">
        <f>HYPERLINK("https://svao.dolgi.msk.ru/account/1761782224/", 1761782224)</f>
        <v>1761782224</v>
      </c>
      <c r="D132">
        <v>11801.35</v>
      </c>
    </row>
    <row r="133" spans="1:4" x14ac:dyDescent="0.25">
      <c r="A133" t="s">
        <v>100</v>
      </c>
      <c r="B133" t="s">
        <v>10</v>
      </c>
      <c r="C133" s="2">
        <f>HYPERLINK("https://svao.dolgi.msk.ru/account/1761782232/", 1761782232)</f>
        <v>1761782232</v>
      </c>
      <c r="D133">
        <v>13340.87</v>
      </c>
    </row>
    <row r="134" spans="1:4" x14ac:dyDescent="0.25">
      <c r="A134" t="s">
        <v>100</v>
      </c>
      <c r="B134" t="s">
        <v>11</v>
      </c>
      <c r="C134" s="2">
        <f>HYPERLINK("https://svao.dolgi.msk.ru/account/1761782259/", 1761782259)</f>
        <v>1761782259</v>
      </c>
      <c r="D134">
        <v>7978.82</v>
      </c>
    </row>
    <row r="135" spans="1:4" x14ac:dyDescent="0.25">
      <c r="A135" t="s">
        <v>100</v>
      </c>
      <c r="B135" t="s">
        <v>12</v>
      </c>
      <c r="C135" s="2">
        <f>HYPERLINK("https://svao.dolgi.msk.ru/account/1761782267/", 1761782267)</f>
        <v>1761782267</v>
      </c>
      <c r="D135">
        <v>11435.86</v>
      </c>
    </row>
    <row r="136" spans="1:4" x14ac:dyDescent="0.25">
      <c r="A136" t="s">
        <v>100</v>
      </c>
      <c r="B136" t="s">
        <v>13</v>
      </c>
      <c r="C136" s="2">
        <f>HYPERLINK("https://svao.dolgi.msk.ru/account/1761782275/", 1761782275)</f>
        <v>1761782275</v>
      </c>
      <c r="D136">
        <v>5873.01</v>
      </c>
    </row>
    <row r="137" spans="1:4" x14ac:dyDescent="0.25">
      <c r="A137" t="s">
        <v>100</v>
      </c>
      <c r="B137" t="s">
        <v>14</v>
      </c>
      <c r="C137" s="2">
        <f>HYPERLINK("https://svao.dolgi.msk.ru/account/1761782283/", 1761782283)</f>
        <v>1761782283</v>
      </c>
      <c r="D137">
        <v>5394.91</v>
      </c>
    </row>
    <row r="138" spans="1:4" x14ac:dyDescent="0.25">
      <c r="A138" t="s">
        <v>100</v>
      </c>
      <c r="B138" t="s">
        <v>106</v>
      </c>
      <c r="C138" s="2">
        <f>HYPERLINK("https://svao.dolgi.msk.ru/account/1761782291/", 1761782291)</f>
        <v>1761782291</v>
      </c>
      <c r="D138">
        <v>5105.7299999999996</v>
      </c>
    </row>
    <row r="139" spans="1:4" x14ac:dyDescent="0.25">
      <c r="A139" t="s">
        <v>100</v>
      </c>
      <c r="B139" t="s">
        <v>107</v>
      </c>
      <c r="C139" s="2">
        <f>HYPERLINK("https://svao.dolgi.msk.ru/account/1761782304/", 1761782304)</f>
        <v>1761782304</v>
      </c>
      <c r="D139">
        <v>4704.3500000000004</v>
      </c>
    </row>
    <row r="140" spans="1:4" x14ac:dyDescent="0.25">
      <c r="A140" t="s">
        <v>100</v>
      </c>
      <c r="B140" t="s">
        <v>15</v>
      </c>
      <c r="C140" s="2">
        <f>HYPERLINK("https://svao.dolgi.msk.ru/account/1761782312/", 1761782312)</f>
        <v>1761782312</v>
      </c>
      <c r="D140">
        <v>10348.36</v>
      </c>
    </row>
    <row r="141" spans="1:4" x14ac:dyDescent="0.25">
      <c r="A141" t="s">
        <v>100</v>
      </c>
      <c r="B141" t="s">
        <v>108</v>
      </c>
      <c r="C141" s="2">
        <f>HYPERLINK("https://svao.dolgi.msk.ru/account/1761782339/", 1761782339)</f>
        <v>1761782339</v>
      </c>
      <c r="D141">
        <v>9989.39</v>
      </c>
    </row>
    <row r="142" spans="1:4" x14ac:dyDescent="0.25">
      <c r="A142" t="s">
        <v>100</v>
      </c>
      <c r="B142" t="s">
        <v>16</v>
      </c>
      <c r="C142" s="2">
        <f>HYPERLINK("https://svao.dolgi.msk.ru/account/1761782347/", 1761782347)</f>
        <v>1761782347</v>
      </c>
      <c r="D142">
        <v>4927.68</v>
      </c>
    </row>
    <row r="143" spans="1:4" x14ac:dyDescent="0.25">
      <c r="A143" t="s">
        <v>100</v>
      </c>
      <c r="B143" t="s">
        <v>17</v>
      </c>
      <c r="C143" s="2">
        <f>HYPERLINK("https://svao.dolgi.msk.ru/account/1761782355/", 1761782355)</f>
        <v>1761782355</v>
      </c>
      <c r="D143">
        <v>6743.01</v>
      </c>
    </row>
    <row r="144" spans="1:4" x14ac:dyDescent="0.25">
      <c r="A144" t="s">
        <v>100</v>
      </c>
      <c r="B144" t="s">
        <v>18</v>
      </c>
      <c r="C144" s="2">
        <f>HYPERLINK("https://svao.dolgi.msk.ru/account/1761782363/", 1761782363)</f>
        <v>1761782363</v>
      </c>
      <c r="D144">
        <v>13592.94</v>
      </c>
    </row>
    <row r="145" spans="1:4" x14ac:dyDescent="0.25">
      <c r="A145" t="s">
        <v>100</v>
      </c>
      <c r="B145" t="s">
        <v>19</v>
      </c>
      <c r="C145" s="2">
        <f>HYPERLINK("https://svao.dolgi.msk.ru/account/1761782371/", 1761782371)</f>
        <v>1761782371</v>
      </c>
      <c r="D145">
        <v>13922.87</v>
      </c>
    </row>
    <row r="146" spans="1:4" x14ac:dyDescent="0.25">
      <c r="A146" t="s">
        <v>100</v>
      </c>
      <c r="B146" t="s">
        <v>109</v>
      </c>
      <c r="C146" s="2">
        <f>HYPERLINK("https://svao.dolgi.msk.ru/account/1761782398/", 1761782398)</f>
        <v>1761782398</v>
      </c>
      <c r="D146">
        <v>4557.28</v>
      </c>
    </row>
    <row r="147" spans="1:4" x14ac:dyDescent="0.25">
      <c r="A147" t="s">
        <v>100</v>
      </c>
      <c r="B147" t="s">
        <v>110</v>
      </c>
      <c r="C147" s="2">
        <f>HYPERLINK("https://svao.dolgi.msk.ru/account/1761782419/", 1761782419)</f>
        <v>1761782419</v>
      </c>
      <c r="D147">
        <v>2675.8</v>
      </c>
    </row>
    <row r="148" spans="1:4" x14ac:dyDescent="0.25">
      <c r="A148" t="s">
        <v>100</v>
      </c>
      <c r="B148" t="s">
        <v>20</v>
      </c>
      <c r="C148" s="2">
        <f>HYPERLINK("https://svao.dolgi.msk.ru/account/1761782427/", 1761782427)</f>
        <v>1761782427</v>
      </c>
      <c r="D148">
        <v>4984.04</v>
      </c>
    </row>
    <row r="149" spans="1:4" x14ac:dyDescent="0.25">
      <c r="A149" t="s">
        <v>100</v>
      </c>
      <c r="B149" t="s">
        <v>76</v>
      </c>
      <c r="C149" s="2">
        <f>HYPERLINK("https://svao.dolgi.msk.ru/account/1761782435/", 1761782435)</f>
        <v>1761782435</v>
      </c>
      <c r="D149">
        <v>5993.95</v>
      </c>
    </row>
    <row r="150" spans="1:4" x14ac:dyDescent="0.25">
      <c r="A150" t="s">
        <v>100</v>
      </c>
      <c r="B150" t="s">
        <v>92</v>
      </c>
      <c r="C150" s="2">
        <f>HYPERLINK("https://svao.dolgi.msk.ru/account/1761782443/", 1761782443)</f>
        <v>1761782443</v>
      </c>
      <c r="D150">
        <v>6924</v>
      </c>
    </row>
    <row r="151" spans="1:4" x14ac:dyDescent="0.25">
      <c r="A151" t="s">
        <v>100</v>
      </c>
      <c r="B151" t="s">
        <v>93</v>
      </c>
      <c r="C151" s="2">
        <f>HYPERLINK("https://svao.dolgi.msk.ru/account/1761782451/", 1761782451)</f>
        <v>1761782451</v>
      </c>
      <c r="D151">
        <v>3689.43</v>
      </c>
    </row>
    <row r="152" spans="1:4" x14ac:dyDescent="0.25">
      <c r="A152" t="s">
        <v>100</v>
      </c>
      <c r="B152" t="s">
        <v>111</v>
      </c>
      <c r="C152" s="2">
        <f>HYPERLINK("https://svao.dolgi.msk.ru/account/1761782478/", 1761782478)</f>
        <v>1761782478</v>
      </c>
      <c r="D152">
        <v>5403.51</v>
      </c>
    </row>
    <row r="153" spans="1:4" x14ac:dyDescent="0.25">
      <c r="A153" t="s">
        <v>100</v>
      </c>
      <c r="B153" t="s">
        <v>94</v>
      </c>
      <c r="C153" s="2">
        <f>HYPERLINK("https://svao.dolgi.msk.ru/account/1761782486/", 1761782486)</f>
        <v>1761782486</v>
      </c>
      <c r="D153">
        <v>8537.41</v>
      </c>
    </row>
    <row r="154" spans="1:4" x14ac:dyDescent="0.25">
      <c r="A154" t="s">
        <v>100</v>
      </c>
      <c r="B154" t="s">
        <v>112</v>
      </c>
      <c r="C154" s="2">
        <f>HYPERLINK("https://svao.dolgi.msk.ru/account/1761782494/", 1761782494)</f>
        <v>1761782494</v>
      </c>
      <c r="D154">
        <v>5668.27</v>
      </c>
    </row>
    <row r="155" spans="1:4" x14ac:dyDescent="0.25">
      <c r="A155" t="s">
        <v>100</v>
      </c>
      <c r="B155" t="s">
        <v>113</v>
      </c>
      <c r="C155" s="2">
        <f>HYPERLINK("https://svao.dolgi.msk.ru/account/1761782507/", 1761782507)</f>
        <v>1761782507</v>
      </c>
      <c r="D155">
        <v>8230.44</v>
      </c>
    </row>
    <row r="156" spans="1:4" x14ac:dyDescent="0.25">
      <c r="A156" t="s">
        <v>100</v>
      </c>
      <c r="B156" t="s">
        <v>21</v>
      </c>
      <c r="C156" s="2">
        <f>HYPERLINK("https://svao.dolgi.msk.ru/account/1761782515/", 1761782515)</f>
        <v>1761782515</v>
      </c>
      <c r="D156">
        <v>6383.75</v>
      </c>
    </row>
    <row r="157" spans="1:4" x14ac:dyDescent="0.25">
      <c r="A157" t="s">
        <v>100</v>
      </c>
      <c r="B157" t="s">
        <v>114</v>
      </c>
      <c r="C157" s="2">
        <f>HYPERLINK("https://svao.dolgi.msk.ru/account/1761782523/", 1761782523)</f>
        <v>1761782523</v>
      </c>
      <c r="D157">
        <v>7223.45</v>
      </c>
    </row>
    <row r="158" spans="1:4" x14ac:dyDescent="0.25">
      <c r="A158" t="s">
        <v>100</v>
      </c>
      <c r="B158" t="s">
        <v>79</v>
      </c>
      <c r="C158" s="2">
        <f>HYPERLINK("https://svao.dolgi.msk.ru/account/1761782531/", 1761782531)</f>
        <v>1761782531</v>
      </c>
      <c r="D158">
        <v>8447.7099999999991</v>
      </c>
    </row>
    <row r="159" spans="1:4" x14ac:dyDescent="0.25">
      <c r="A159" t="s">
        <v>100</v>
      </c>
      <c r="B159" t="s">
        <v>23</v>
      </c>
      <c r="C159" s="2">
        <f>HYPERLINK("https://svao.dolgi.msk.ru/account/1761782558/", 1761782558)</f>
        <v>1761782558</v>
      </c>
      <c r="D159">
        <v>14744.71</v>
      </c>
    </row>
    <row r="160" spans="1:4" x14ac:dyDescent="0.25">
      <c r="A160" t="s">
        <v>100</v>
      </c>
      <c r="B160" t="s">
        <v>115</v>
      </c>
      <c r="C160" s="2">
        <f>HYPERLINK("https://svao.dolgi.msk.ru/account/1761782566/", 1761782566)</f>
        <v>1761782566</v>
      </c>
      <c r="D160">
        <v>16094.95</v>
      </c>
    </row>
    <row r="161" spans="1:4" x14ac:dyDescent="0.25">
      <c r="A161" t="s">
        <v>116</v>
      </c>
      <c r="B161" t="s">
        <v>5</v>
      </c>
      <c r="C161" s="2">
        <f>HYPERLINK("https://svao.dolgi.msk.ru/account/1760046954/", 1760046954)</f>
        <v>1760046954</v>
      </c>
      <c r="D161">
        <v>3110.06</v>
      </c>
    </row>
    <row r="162" spans="1:4" x14ac:dyDescent="0.25">
      <c r="A162" t="s">
        <v>116</v>
      </c>
      <c r="B162" t="s">
        <v>104</v>
      </c>
      <c r="C162" s="2">
        <f>HYPERLINK("https://svao.dolgi.msk.ru/account/1760047033/", 1760047033)</f>
        <v>1760047033</v>
      </c>
      <c r="D162">
        <v>195232.53</v>
      </c>
    </row>
    <row r="163" spans="1:4" x14ac:dyDescent="0.25">
      <c r="A163" t="s">
        <v>116</v>
      </c>
      <c r="B163" t="s">
        <v>12</v>
      </c>
      <c r="C163" s="2">
        <f>HYPERLINK("https://svao.dolgi.msk.ru/account/1760047156/", 1760047156)</f>
        <v>1760047156</v>
      </c>
      <c r="D163">
        <v>17528.8</v>
      </c>
    </row>
    <row r="164" spans="1:4" x14ac:dyDescent="0.25">
      <c r="A164" t="s">
        <v>116</v>
      </c>
      <c r="B164" t="s">
        <v>14</v>
      </c>
      <c r="C164" s="2">
        <f>HYPERLINK("https://svao.dolgi.msk.ru/account/1760047172/", 1760047172)</f>
        <v>1760047172</v>
      </c>
      <c r="D164">
        <v>5071.0600000000004</v>
      </c>
    </row>
    <row r="165" spans="1:4" x14ac:dyDescent="0.25">
      <c r="A165" t="s">
        <v>116</v>
      </c>
      <c r="B165" t="s">
        <v>107</v>
      </c>
      <c r="C165" s="2">
        <f>HYPERLINK("https://svao.dolgi.msk.ru/account/1760047201/", 1760047201)</f>
        <v>1760047201</v>
      </c>
      <c r="D165">
        <v>6569.61</v>
      </c>
    </row>
    <row r="166" spans="1:4" x14ac:dyDescent="0.25">
      <c r="A166" t="s">
        <v>116</v>
      </c>
      <c r="B166" t="s">
        <v>109</v>
      </c>
      <c r="C166" s="2">
        <f>HYPERLINK("https://svao.dolgi.msk.ru/account/1760047295/", 1760047295)</f>
        <v>1760047295</v>
      </c>
      <c r="D166">
        <v>2624.83</v>
      </c>
    </row>
    <row r="167" spans="1:4" x14ac:dyDescent="0.25">
      <c r="A167" t="s">
        <v>116</v>
      </c>
      <c r="B167" t="s">
        <v>93</v>
      </c>
      <c r="C167" s="2">
        <f>HYPERLINK("https://svao.dolgi.msk.ru/account/1760047359/", 1760047359)</f>
        <v>1760047359</v>
      </c>
      <c r="D167">
        <v>3366.54</v>
      </c>
    </row>
    <row r="168" spans="1:4" x14ac:dyDescent="0.25">
      <c r="A168" t="s">
        <v>116</v>
      </c>
      <c r="B168" t="s">
        <v>22</v>
      </c>
      <c r="C168" s="2">
        <f>HYPERLINK("https://svao.dolgi.msk.ru/account/1760047455/", 1760047455)</f>
        <v>1760047455</v>
      </c>
      <c r="D168">
        <v>9928.7900000000009</v>
      </c>
    </row>
    <row r="169" spans="1:4" x14ac:dyDescent="0.25">
      <c r="A169" t="s">
        <v>116</v>
      </c>
      <c r="B169" t="s">
        <v>117</v>
      </c>
      <c r="C169" s="2">
        <f>HYPERLINK("https://svao.dolgi.msk.ru/account/1760262542/", 1760262542)</f>
        <v>1760262542</v>
      </c>
      <c r="D169">
        <v>658.87</v>
      </c>
    </row>
    <row r="170" spans="1:4" x14ac:dyDescent="0.25">
      <c r="A170" t="s">
        <v>116</v>
      </c>
      <c r="B170" t="s">
        <v>118</v>
      </c>
      <c r="C170" s="2">
        <f>HYPERLINK("https://svao.dolgi.msk.ru/account/1760047631/", 1760047631)</f>
        <v>1760047631</v>
      </c>
      <c r="D170">
        <v>4849.17</v>
      </c>
    </row>
    <row r="171" spans="1:4" x14ac:dyDescent="0.25">
      <c r="A171" t="s">
        <v>116</v>
      </c>
      <c r="B171" t="s">
        <v>81</v>
      </c>
      <c r="C171" s="2">
        <f>HYPERLINK("https://svao.dolgi.msk.ru/account/1760047666/", 1760047666)</f>
        <v>1760047666</v>
      </c>
      <c r="D171">
        <v>5608.33</v>
      </c>
    </row>
    <row r="172" spans="1:4" x14ac:dyDescent="0.25">
      <c r="A172" t="s">
        <v>116</v>
      </c>
      <c r="B172" t="s">
        <v>119</v>
      </c>
      <c r="C172" s="2">
        <f>HYPERLINK("https://svao.dolgi.msk.ru/account/1760047674/", 1760047674)</f>
        <v>1760047674</v>
      </c>
      <c r="D172">
        <v>6014.39</v>
      </c>
    </row>
    <row r="173" spans="1:4" x14ac:dyDescent="0.25">
      <c r="A173" t="s">
        <v>116</v>
      </c>
      <c r="B173" t="s">
        <v>120</v>
      </c>
      <c r="C173" s="2">
        <f>HYPERLINK("https://svao.dolgi.msk.ru/account/1760047682/", 1760047682)</f>
        <v>1760047682</v>
      </c>
      <c r="D173">
        <v>8864.66</v>
      </c>
    </row>
    <row r="174" spans="1:4" x14ac:dyDescent="0.25">
      <c r="A174" t="s">
        <v>116</v>
      </c>
      <c r="B174" t="s">
        <v>25</v>
      </c>
      <c r="C174" s="2">
        <f>HYPERLINK("https://svao.dolgi.msk.ru/account/1760047738/", 1760047738)</f>
        <v>1760047738</v>
      </c>
      <c r="D174">
        <v>28530.45</v>
      </c>
    </row>
    <row r="175" spans="1:4" x14ac:dyDescent="0.25">
      <c r="A175" t="s">
        <v>116</v>
      </c>
      <c r="B175" t="s">
        <v>121</v>
      </c>
      <c r="C175" s="2">
        <f>HYPERLINK("https://svao.dolgi.msk.ru/account/1760047842/", 1760047842)</f>
        <v>1760047842</v>
      </c>
      <c r="D175">
        <v>11406.41</v>
      </c>
    </row>
    <row r="176" spans="1:4" x14ac:dyDescent="0.25">
      <c r="A176" t="s">
        <v>122</v>
      </c>
      <c r="B176" t="s">
        <v>101</v>
      </c>
      <c r="C176" s="2">
        <f>HYPERLINK("https://svao.dolgi.msk.ru/account/1760051112/", 1760051112)</f>
        <v>1760051112</v>
      </c>
      <c r="D176">
        <v>3842.47</v>
      </c>
    </row>
    <row r="177" spans="1:4" x14ac:dyDescent="0.25">
      <c r="A177" t="s">
        <v>122</v>
      </c>
      <c r="B177" t="s">
        <v>101</v>
      </c>
      <c r="C177" s="2">
        <f>HYPERLINK("https://svao.dolgi.msk.ru/account/1760051139/", 1760051139)</f>
        <v>1760051139</v>
      </c>
      <c r="D177">
        <v>219.32</v>
      </c>
    </row>
    <row r="178" spans="1:4" x14ac:dyDescent="0.25">
      <c r="A178" t="s">
        <v>122</v>
      </c>
      <c r="B178" t="s">
        <v>73</v>
      </c>
      <c r="C178" s="2">
        <f>HYPERLINK("https://svao.dolgi.msk.ru/account/1760051198/", 1760051198)</f>
        <v>1760051198</v>
      </c>
      <c r="D178">
        <v>6054.19</v>
      </c>
    </row>
    <row r="179" spans="1:4" x14ac:dyDescent="0.25">
      <c r="A179" t="s">
        <v>122</v>
      </c>
      <c r="B179" t="s">
        <v>11</v>
      </c>
      <c r="C179" s="2">
        <f>HYPERLINK("https://svao.dolgi.msk.ru/account/1760051323/", 1760051323)</f>
        <v>1760051323</v>
      </c>
      <c r="D179">
        <v>2631.44</v>
      </c>
    </row>
    <row r="180" spans="1:4" x14ac:dyDescent="0.25">
      <c r="A180" t="s">
        <v>122</v>
      </c>
      <c r="B180" t="s">
        <v>16</v>
      </c>
      <c r="C180" s="2">
        <f>HYPERLINK("https://svao.dolgi.msk.ru/account/1760051518/", 1760051518)</f>
        <v>1760051518</v>
      </c>
      <c r="D180">
        <v>5611.81</v>
      </c>
    </row>
    <row r="181" spans="1:4" x14ac:dyDescent="0.25">
      <c r="A181" t="s">
        <v>122</v>
      </c>
      <c r="B181" t="s">
        <v>17</v>
      </c>
      <c r="C181" s="2">
        <f>HYPERLINK("https://svao.dolgi.msk.ru/account/1760051534/", 1760051534)</f>
        <v>1760051534</v>
      </c>
      <c r="D181">
        <v>7324.94</v>
      </c>
    </row>
    <row r="182" spans="1:4" x14ac:dyDescent="0.25">
      <c r="A182" t="s">
        <v>122</v>
      </c>
      <c r="B182" t="s">
        <v>93</v>
      </c>
      <c r="C182" s="2">
        <f>HYPERLINK("https://svao.dolgi.msk.ru/account/1760051657/", 1760051657)</f>
        <v>1760051657</v>
      </c>
      <c r="D182">
        <v>4579.4399999999996</v>
      </c>
    </row>
    <row r="183" spans="1:4" x14ac:dyDescent="0.25">
      <c r="A183" t="s">
        <v>122</v>
      </c>
      <c r="B183" t="s">
        <v>93</v>
      </c>
      <c r="C183" s="2">
        <f>HYPERLINK("https://svao.dolgi.msk.ru/account/1761793062/", 1761793062)</f>
        <v>1761793062</v>
      </c>
      <c r="D183">
        <v>32078.7</v>
      </c>
    </row>
    <row r="184" spans="1:4" x14ac:dyDescent="0.25">
      <c r="A184" t="s">
        <v>122</v>
      </c>
      <c r="B184" t="s">
        <v>94</v>
      </c>
      <c r="C184" s="2">
        <f>HYPERLINK("https://svao.dolgi.msk.ru/account/1760051673/", 1760051673)</f>
        <v>1760051673</v>
      </c>
      <c r="D184">
        <v>6231.53</v>
      </c>
    </row>
    <row r="185" spans="1:4" x14ac:dyDescent="0.25">
      <c r="A185" t="s">
        <v>122</v>
      </c>
      <c r="B185" t="s">
        <v>21</v>
      </c>
      <c r="C185" s="2">
        <f>HYPERLINK("https://svao.dolgi.msk.ru/account/1760051737/", 1760051737)</f>
        <v>1760051737</v>
      </c>
      <c r="D185">
        <v>2647.47</v>
      </c>
    </row>
    <row r="186" spans="1:4" x14ac:dyDescent="0.25">
      <c r="A186" t="s">
        <v>122</v>
      </c>
      <c r="B186" t="s">
        <v>79</v>
      </c>
      <c r="C186" s="2">
        <f>HYPERLINK("https://svao.dolgi.msk.ru/account/1760051809/", 1760051809)</f>
        <v>1760051809</v>
      </c>
      <c r="D186">
        <v>2313.4</v>
      </c>
    </row>
    <row r="187" spans="1:4" x14ac:dyDescent="0.25">
      <c r="A187" t="s">
        <v>122</v>
      </c>
      <c r="B187" t="s">
        <v>79</v>
      </c>
      <c r="C187" s="2">
        <f>HYPERLINK("https://svao.dolgi.msk.ru/account/1760051817/", 1760051817)</f>
        <v>1760051817</v>
      </c>
      <c r="D187">
        <v>3377.14</v>
      </c>
    </row>
    <row r="188" spans="1:4" x14ac:dyDescent="0.25">
      <c r="A188" t="s">
        <v>122</v>
      </c>
      <c r="B188" t="s">
        <v>23</v>
      </c>
      <c r="C188" s="2">
        <f>HYPERLINK("https://svao.dolgi.msk.ru/account/1760051841/", 1760051841)</f>
        <v>1760051841</v>
      </c>
      <c r="D188">
        <v>3680.31</v>
      </c>
    </row>
    <row r="189" spans="1:4" x14ac:dyDescent="0.25">
      <c r="A189" t="s">
        <v>122</v>
      </c>
      <c r="B189" t="s">
        <v>115</v>
      </c>
      <c r="C189" s="2">
        <f>HYPERLINK("https://svao.dolgi.msk.ru/account/1760051892/", 1760051892)</f>
        <v>1760051892</v>
      </c>
      <c r="D189">
        <v>7879.26</v>
      </c>
    </row>
    <row r="190" spans="1:4" x14ac:dyDescent="0.25">
      <c r="A190" t="s">
        <v>123</v>
      </c>
      <c r="B190" t="s">
        <v>5</v>
      </c>
      <c r="C190" s="2">
        <f>HYPERLINK("https://svao.dolgi.msk.ru/account/1760038823/", 1760038823)</f>
        <v>1760038823</v>
      </c>
      <c r="D190">
        <v>247866.26</v>
      </c>
    </row>
    <row r="191" spans="1:4" x14ac:dyDescent="0.25">
      <c r="A191" t="s">
        <v>123</v>
      </c>
      <c r="B191" t="s">
        <v>8</v>
      </c>
      <c r="C191" s="2">
        <f>HYPERLINK("https://svao.dolgi.msk.ru/account/1760038946/", 1760038946)</f>
        <v>1760038946</v>
      </c>
      <c r="D191">
        <v>678.59</v>
      </c>
    </row>
    <row r="192" spans="1:4" x14ac:dyDescent="0.25">
      <c r="A192" t="s">
        <v>123</v>
      </c>
      <c r="B192" t="s">
        <v>74</v>
      </c>
      <c r="C192" s="2">
        <f>HYPERLINK("https://svao.dolgi.msk.ru/account/1760038954/", 1760038954)</f>
        <v>1760038954</v>
      </c>
      <c r="D192">
        <v>9331</v>
      </c>
    </row>
    <row r="193" spans="1:4" x14ac:dyDescent="0.25">
      <c r="A193" t="s">
        <v>123</v>
      </c>
      <c r="B193" t="s">
        <v>9</v>
      </c>
      <c r="C193" s="2">
        <f>HYPERLINK("https://svao.dolgi.msk.ru/account/1760038989/", 1760038989)</f>
        <v>1760038989</v>
      </c>
      <c r="D193">
        <v>189.14</v>
      </c>
    </row>
    <row r="194" spans="1:4" x14ac:dyDescent="0.25">
      <c r="A194" t="s">
        <v>123</v>
      </c>
      <c r="B194" t="s">
        <v>11</v>
      </c>
      <c r="C194" s="2">
        <f>HYPERLINK("https://svao.dolgi.msk.ru/account/1760039033/", 1760039033)</f>
        <v>1760039033</v>
      </c>
      <c r="D194">
        <v>3599.5</v>
      </c>
    </row>
    <row r="195" spans="1:4" x14ac:dyDescent="0.25">
      <c r="A195" t="s">
        <v>123</v>
      </c>
      <c r="B195" t="s">
        <v>14</v>
      </c>
      <c r="C195" s="2">
        <f>HYPERLINK("https://svao.dolgi.msk.ru/account/1760039076/", 1760039076)</f>
        <v>1760039076</v>
      </c>
      <c r="D195">
        <v>4585.47</v>
      </c>
    </row>
    <row r="196" spans="1:4" x14ac:dyDescent="0.25">
      <c r="A196" t="s">
        <v>123</v>
      </c>
      <c r="B196" t="s">
        <v>108</v>
      </c>
      <c r="C196" s="2">
        <f>HYPERLINK("https://svao.dolgi.msk.ru/account/1760039113/", 1760039113)</f>
        <v>1760039113</v>
      </c>
      <c r="D196">
        <v>5635.1</v>
      </c>
    </row>
    <row r="197" spans="1:4" x14ac:dyDescent="0.25">
      <c r="A197" t="s">
        <v>123</v>
      </c>
      <c r="B197" t="s">
        <v>17</v>
      </c>
      <c r="C197" s="2">
        <f>HYPERLINK("https://svao.dolgi.msk.ru/account/1760039148/", 1760039148)</f>
        <v>1760039148</v>
      </c>
      <c r="D197">
        <v>12322.29</v>
      </c>
    </row>
    <row r="198" spans="1:4" x14ac:dyDescent="0.25">
      <c r="A198" t="s">
        <v>123</v>
      </c>
      <c r="B198" t="s">
        <v>19</v>
      </c>
      <c r="C198" s="2">
        <f>HYPERLINK("https://svao.dolgi.msk.ru/account/1760039164/", 1760039164)</f>
        <v>1760039164</v>
      </c>
      <c r="D198">
        <v>46109.04</v>
      </c>
    </row>
    <row r="199" spans="1:4" x14ac:dyDescent="0.25">
      <c r="A199" t="s">
        <v>123</v>
      </c>
      <c r="B199" t="s">
        <v>111</v>
      </c>
      <c r="C199" s="2">
        <f>HYPERLINK("https://svao.dolgi.msk.ru/account/1760039287/", 1760039287)</f>
        <v>1760039287</v>
      </c>
      <c r="D199">
        <v>6948.39</v>
      </c>
    </row>
    <row r="200" spans="1:4" x14ac:dyDescent="0.25">
      <c r="A200" t="s">
        <v>123</v>
      </c>
      <c r="B200" t="s">
        <v>94</v>
      </c>
      <c r="C200" s="2">
        <f>HYPERLINK("https://svao.dolgi.msk.ru/account/1760039295/", 1760039295)</f>
        <v>1760039295</v>
      </c>
      <c r="D200">
        <v>13747.21</v>
      </c>
    </row>
    <row r="201" spans="1:4" x14ac:dyDescent="0.25">
      <c r="A201" t="s">
        <v>123</v>
      </c>
      <c r="B201" t="s">
        <v>114</v>
      </c>
      <c r="C201" s="2">
        <f>HYPERLINK("https://svao.dolgi.msk.ru/account/1760039359/", 1760039359)</f>
        <v>1760039359</v>
      </c>
      <c r="D201">
        <v>6104.86</v>
      </c>
    </row>
    <row r="202" spans="1:4" x14ac:dyDescent="0.25">
      <c r="A202" t="s">
        <v>123</v>
      </c>
      <c r="B202" t="s">
        <v>79</v>
      </c>
      <c r="C202" s="2">
        <f>HYPERLINK("https://svao.dolgi.msk.ru/account/1760039383/", 1760039383)</f>
        <v>1760039383</v>
      </c>
      <c r="D202">
        <v>4506.51</v>
      </c>
    </row>
    <row r="203" spans="1:4" x14ac:dyDescent="0.25">
      <c r="A203" t="s">
        <v>123</v>
      </c>
      <c r="B203" t="s">
        <v>23</v>
      </c>
      <c r="C203" s="2">
        <f>HYPERLINK("https://svao.dolgi.msk.ru/account/1760039391/", 1760039391)</f>
        <v>1760039391</v>
      </c>
      <c r="D203">
        <v>2464.2199999999998</v>
      </c>
    </row>
    <row r="204" spans="1:4" x14ac:dyDescent="0.25">
      <c r="A204" t="s">
        <v>123</v>
      </c>
      <c r="B204" t="s">
        <v>124</v>
      </c>
      <c r="C204" s="2">
        <f>HYPERLINK("https://svao.dolgi.msk.ru/account/1760039404/", 1760039404)</f>
        <v>1760039404</v>
      </c>
      <c r="D204">
        <v>2078.66</v>
      </c>
    </row>
    <row r="205" spans="1:4" x14ac:dyDescent="0.25">
      <c r="A205" t="s">
        <v>123</v>
      </c>
      <c r="B205" t="s">
        <v>124</v>
      </c>
      <c r="C205" s="2">
        <f>HYPERLINK("https://svao.dolgi.msk.ru/account/1761795383/", 1761795383)</f>
        <v>1761795383</v>
      </c>
      <c r="D205">
        <v>2609.67</v>
      </c>
    </row>
    <row r="206" spans="1:4" x14ac:dyDescent="0.25">
      <c r="A206" t="s">
        <v>123</v>
      </c>
      <c r="B206" t="s">
        <v>117</v>
      </c>
      <c r="C206" s="2">
        <f>HYPERLINK("https://svao.dolgi.msk.ru/account/1760039412/", 1760039412)</f>
        <v>1760039412</v>
      </c>
      <c r="D206">
        <v>556.14</v>
      </c>
    </row>
    <row r="207" spans="1:4" x14ac:dyDescent="0.25">
      <c r="A207" t="s">
        <v>123</v>
      </c>
      <c r="B207" t="s">
        <v>115</v>
      </c>
      <c r="C207" s="2">
        <f>HYPERLINK("https://svao.dolgi.msk.ru/account/1760039439/", 1760039439)</f>
        <v>1760039439</v>
      </c>
      <c r="D207">
        <v>4404.74</v>
      </c>
    </row>
    <row r="208" spans="1:4" x14ac:dyDescent="0.25">
      <c r="A208" t="s">
        <v>123</v>
      </c>
      <c r="B208" t="s">
        <v>95</v>
      </c>
      <c r="C208" s="2">
        <f>HYPERLINK("https://svao.dolgi.msk.ru/account/1760039519/", 1760039519)</f>
        <v>1760039519</v>
      </c>
      <c r="D208">
        <v>7445.8</v>
      </c>
    </row>
    <row r="209" spans="1:4" x14ac:dyDescent="0.25">
      <c r="A209" t="s">
        <v>123</v>
      </c>
      <c r="B209" t="s">
        <v>125</v>
      </c>
      <c r="C209" s="2">
        <f>HYPERLINK("https://svao.dolgi.msk.ru/account/1760039543/", 1760039543)</f>
        <v>1760039543</v>
      </c>
      <c r="D209">
        <v>1523.94</v>
      </c>
    </row>
    <row r="210" spans="1:4" x14ac:dyDescent="0.25">
      <c r="A210" t="s">
        <v>123</v>
      </c>
      <c r="B210" t="s">
        <v>126</v>
      </c>
      <c r="C210" s="2">
        <f>HYPERLINK("https://svao.dolgi.msk.ru/account/1760039578/", 1760039578)</f>
        <v>1760039578</v>
      </c>
      <c r="D210">
        <v>4958.2</v>
      </c>
    </row>
    <row r="211" spans="1:4" x14ac:dyDescent="0.25">
      <c r="A211" t="s">
        <v>123</v>
      </c>
      <c r="B211" t="s">
        <v>127</v>
      </c>
      <c r="C211" s="2">
        <f>HYPERLINK("https://svao.dolgi.msk.ru/account/1760039607/", 1760039607)</f>
        <v>1760039607</v>
      </c>
      <c r="D211">
        <v>7392.8</v>
      </c>
    </row>
    <row r="212" spans="1:4" x14ac:dyDescent="0.25">
      <c r="A212" t="s">
        <v>123</v>
      </c>
      <c r="B212" t="s">
        <v>120</v>
      </c>
      <c r="C212" s="2">
        <f>HYPERLINK("https://svao.dolgi.msk.ru/account/1760039666/", 1760039666)</f>
        <v>1760039666</v>
      </c>
      <c r="D212">
        <v>48525.56</v>
      </c>
    </row>
    <row r="213" spans="1:4" x14ac:dyDescent="0.25">
      <c r="A213" t="s">
        <v>123</v>
      </c>
      <c r="B213" t="s">
        <v>82</v>
      </c>
      <c r="C213" s="2">
        <f>HYPERLINK("https://svao.dolgi.msk.ru/account/1760039682/", 1760039682)</f>
        <v>1760039682</v>
      </c>
      <c r="D213">
        <v>6826.48</v>
      </c>
    </row>
    <row r="214" spans="1:4" x14ac:dyDescent="0.25">
      <c r="A214" t="s">
        <v>123</v>
      </c>
      <c r="B214" t="s">
        <v>128</v>
      </c>
      <c r="C214" s="2">
        <f>HYPERLINK("https://svao.dolgi.msk.ru/account/1760039703/", 1760039703)</f>
        <v>1760039703</v>
      </c>
      <c r="D214">
        <v>27624.3</v>
      </c>
    </row>
    <row r="215" spans="1:4" x14ac:dyDescent="0.25">
      <c r="A215" t="s">
        <v>123</v>
      </c>
      <c r="B215" t="s">
        <v>27</v>
      </c>
      <c r="C215" s="2">
        <f>HYPERLINK("https://svao.dolgi.msk.ru/account/1760039818/", 1760039818)</f>
        <v>1760039818</v>
      </c>
      <c r="D215">
        <v>10915.34</v>
      </c>
    </row>
    <row r="216" spans="1:4" x14ac:dyDescent="0.25">
      <c r="A216" t="s">
        <v>123</v>
      </c>
      <c r="B216" t="s">
        <v>129</v>
      </c>
      <c r="C216" s="2">
        <f>HYPERLINK("https://svao.dolgi.msk.ru/account/1760039957/", 1760039957)</f>
        <v>1760039957</v>
      </c>
      <c r="D216">
        <v>2962.01</v>
      </c>
    </row>
    <row r="217" spans="1:4" x14ac:dyDescent="0.25">
      <c r="A217" t="s">
        <v>123</v>
      </c>
      <c r="B217" t="s">
        <v>31</v>
      </c>
      <c r="C217" s="2">
        <f>HYPERLINK("https://svao.dolgi.msk.ru/account/1760040018/", 1760040018)</f>
        <v>1760040018</v>
      </c>
      <c r="D217">
        <v>4619.3</v>
      </c>
    </row>
    <row r="218" spans="1:4" x14ac:dyDescent="0.25">
      <c r="A218" t="s">
        <v>123</v>
      </c>
      <c r="B218" t="s">
        <v>85</v>
      </c>
      <c r="C218" s="2">
        <f>HYPERLINK("https://svao.dolgi.msk.ru/account/1760040085/", 1760040085)</f>
        <v>1760040085</v>
      </c>
      <c r="D218">
        <v>15675.69</v>
      </c>
    </row>
    <row r="219" spans="1:4" x14ac:dyDescent="0.25">
      <c r="A219" t="s">
        <v>130</v>
      </c>
      <c r="B219" t="s">
        <v>41</v>
      </c>
      <c r="C219" s="2">
        <f>HYPERLINK("https://svao.dolgi.msk.ru/account/1760196119/", 1760196119)</f>
        <v>1760196119</v>
      </c>
      <c r="D219">
        <v>3718.57</v>
      </c>
    </row>
    <row r="220" spans="1:4" x14ac:dyDescent="0.25">
      <c r="A220" t="s">
        <v>130</v>
      </c>
      <c r="B220" t="s">
        <v>5</v>
      </c>
      <c r="C220" s="2">
        <f>HYPERLINK("https://svao.dolgi.msk.ru/account/1760196127/", 1760196127)</f>
        <v>1760196127</v>
      </c>
      <c r="D220">
        <v>4630.93</v>
      </c>
    </row>
    <row r="221" spans="1:4" x14ac:dyDescent="0.25">
      <c r="A221" t="s">
        <v>130</v>
      </c>
      <c r="B221" t="s">
        <v>101</v>
      </c>
      <c r="C221" s="2">
        <f>HYPERLINK("https://svao.dolgi.msk.ru/account/1760196143/", 1760196143)</f>
        <v>1760196143</v>
      </c>
      <c r="D221">
        <v>2205.62</v>
      </c>
    </row>
    <row r="222" spans="1:4" x14ac:dyDescent="0.25">
      <c r="A222" t="s">
        <v>130</v>
      </c>
      <c r="B222" t="s">
        <v>73</v>
      </c>
      <c r="C222" s="2">
        <f>HYPERLINK("https://svao.dolgi.msk.ru/account/1760196194/", 1760196194)</f>
        <v>1760196194</v>
      </c>
      <c r="D222">
        <v>3792.5</v>
      </c>
    </row>
    <row r="223" spans="1:4" x14ac:dyDescent="0.25">
      <c r="A223" t="s">
        <v>130</v>
      </c>
      <c r="B223" t="s">
        <v>8</v>
      </c>
      <c r="C223" s="2">
        <f>HYPERLINK("https://svao.dolgi.msk.ru/account/1760196215/", 1760196215)</f>
        <v>1760196215</v>
      </c>
      <c r="D223">
        <v>6994.61</v>
      </c>
    </row>
    <row r="224" spans="1:4" x14ac:dyDescent="0.25">
      <c r="A224" t="s">
        <v>130</v>
      </c>
      <c r="B224" t="s">
        <v>10</v>
      </c>
      <c r="C224" s="2">
        <f>HYPERLINK("https://svao.dolgi.msk.ru/account/1760196282/", 1760196282)</f>
        <v>1760196282</v>
      </c>
      <c r="D224">
        <v>51668.67</v>
      </c>
    </row>
    <row r="225" spans="1:4" x14ac:dyDescent="0.25">
      <c r="A225" t="s">
        <v>130</v>
      </c>
      <c r="B225" t="s">
        <v>110</v>
      </c>
      <c r="C225" s="2">
        <f>HYPERLINK("https://svao.dolgi.msk.ru/account/1760196485/", 1760196485)</f>
        <v>1760196485</v>
      </c>
      <c r="D225">
        <v>3152.97</v>
      </c>
    </row>
    <row r="226" spans="1:4" x14ac:dyDescent="0.25">
      <c r="A226" t="s">
        <v>130</v>
      </c>
      <c r="B226" t="s">
        <v>21</v>
      </c>
      <c r="C226" s="2">
        <f>HYPERLINK("https://svao.dolgi.msk.ru/account/1760196581/", 1760196581)</f>
        <v>1760196581</v>
      </c>
      <c r="D226">
        <v>11101.06</v>
      </c>
    </row>
    <row r="227" spans="1:4" x14ac:dyDescent="0.25">
      <c r="A227" t="s">
        <v>130</v>
      </c>
      <c r="B227" t="s">
        <v>114</v>
      </c>
      <c r="C227" s="2">
        <f>HYPERLINK("https://svao.dolgi.msk.ru/account/1760196629/", 1760196629)</f>
        <v>1760196629</v>
      </c>
      <c r="D227">
        <v>12707.36</v>
      </c>
    </row>
    <row r="228" spans="1:4" x14ac:dyDescent="0.25">
      <c r="A228" t="s">
        <v>130</v>
      </c>
      <c r="B228" t="s">
        <v>22</v>
      </c>
      <c r="C228" s="2">
        <f>HYPERLINK("https://svao.dolgi.msk.ru/account/1760196645/", 1760196645)</f>
        <v>1760196645</v>
      </c>
      <c r="D228">
        <v>5045.4799999999996</v>
      </c>
    </row>
    <row r="229" spans="1:4" x14ac:dyDescent="0.25">
      <c r="A229" t="s">
        <v>130</v>
      </c>
      <c r="B229" t="s">
        <v>79</v>
      </c>
      <c r="C229" s="2">
        <f>HYPERLINK("https://svao.dolgi.msk.ru/account/1760196653/", 1760196653)</f>
        <v>1760196653</v>
      </c>
      <c r="D229">
        <v>6826.9</v>
      </c>
    </row>
    <row r="230" spans="1:4" x14ac:dyDescent="0.25">
      <c r="A230" t="s">
        <v>130</v>
      </c>
      <c r="B230" t="s">
        <v>23</v>
      </c>
      <c r="C230" s="2">
        <f>HYPERLINK("https://svao.dolgi.msk.ru/account/1760196661/", 1760196661)</f>
        <v>1760196661</v>
      </c>
      <c r="D230">
        <v>12208.74</v>
      </c>
    </row>
    <row r="231" spans="1:4" x14ac:dyDescent="0.25">
      <c r="A231" t="s">
        <v>130</v>
      </c>
      <c r="B231" t="s">
        <v>117</v>
      </c>
      <c r="C231" s="2">
        <f>HYPERLINK("https://svao.dolgi.msk.ru/account/1760196696/", 1760196696)</f>
        <v>1760196696</v>
      </c>
      <c r="D231">
        <v>3858.51</v>
      </c>
    </row>
    <row r="232" spans="1:4" x14ac:dyDescent="0.25">
      <c r="A232" t="s">
        <v>130</v>
      </c>
      <c r="B232" t="s">
        <v>131</v>
      </c>
      <c r="C232" s="2">
        <f>HYPERLINK("https://svao.dolgi.msk.ru/account/1760196776/", 1760196776)</f>
        <v>1760196776</v>
      </c>
      <c r="D232">
        <v>6883.03</v>
      </c>
    </row>
    <row r="233" spans="1:4" x14ac:dyDescent="0.25">
      <c r="A233" t="s">
        <v>130</v>
      </c>
      <c r="B233" t="s">
        <v>126</v>
      </c>
      <c r="C233" s="2">
        <f>HYPERLINK("https://svao.dolgi.msk.ru/account/1760196792/", 1760196792)</f>
        <v>1760196792</v>
      </c>
      <c r="D233">
        <v>8192.15</v>
      </c>
    </row>
    <row r="234" spans="1:4" x14ac:dyDescent="0.25">
      <c r="A234" t="s">
        <v>130</v>
      </c>
      <c r="B234" t="s">
        <v>119</v>
      </c>
      <c r="C234" s="2">
        <f>HYPERLINK("https://svao.dolgi.msk.ru/account/1760196856/", 1760196856)</f>
        <v>1760196856</v>
      </c>
      <c r="D234">
        <v>4655.57</v>
      </c>
    </row>
    <row r="235" spans="1:4" x14ac:dyDescent="0.25">
      <c r="A235" t="s">
        <v>130</v>
      </c>
      <c r="B235" t="s">
        <v>132</v>
      </c>
      <c r="C235" s="2">
        <f>HYPERLINK("https://svao.dolgi.msk.ru/account/1760196936/", 1760196936)</f>
        <v>1760196936</v>
      </c>
      <c r="D235">
        <v>6599.18</v>
      </c>
    </row>
    <row r="236" spans="1:4" x14ac:dyDescent="0.25">
      <c r="A236" t="s">
        <v>130</v>
      </c>
      <c r="B236" t="s">
        <v>133</v>
      </c>
      <c r="C236" s="2">
        <f>HYPERLINK("https://svao.dolgi.msk.ru/account/1760196952/", 1760196952)</f>
        <v>1760196952</v>
      </c>
      <c r="D236">
        <v>513.4</v>
      </c>
    </row>
    <row r="237" spans="1:4" x14ac:dyDescent="0.25">
      <c r="A237" t="s">
        <v>130</v>
      </c>
      <c r="B237" t="s">
        <v>27</v>
      </c>
      <c r="C237" s="2">
        <f>HYPERLINK("https://svao.dolgi.msk.ru/account/1760196987/", 1760196987)</f>
        <v>1760196987</v>
      </c>
      <c r="D237">
        <v>2138.38</v>
      </c>
    </row>
    <row r="238" spans="1:4" x14ac:dyDescent="0.25">
      <c r="A238" t="s">
        <v>130</v>
      </c>
      <c r="B238" t="s">
        <v>134</v>
      </c>
      <c r="C238" s="2">
        <f>HYPERLINK("https://svao.dolgi.msk.ru/account/1760197023/", 1760197023)</f>
        <v>1760197023</v>
      </c>
      <c r="D238">
        <v>3821.32</v>
      </c>
    </row>
    <row r="239" spans="1:4" x14ac:dyDescent="0.25">
      <c r="A239" t="s">
        <v>130</v>
      </c>
      <c r="B239" t="s">
        <v>28</v>
      </c>
      <c r="C239" s="2">
        <f>HYPERLINK("https://svao.dolgi.msk.ru/account/1760197058/", 1760197058)</f>
        <v>1760197058</v>
      </c>
      <c r="D239">
        <v>2787.24</v>
      </c>
    </row>
    <row r="240" spans="1:4" x14ac:dyDescent="0.25">
      <c r="A240" t="s">
        <v>130</v>
      </c>
      <c r="B240" t="s">
        <v>84</v>
      </c>
      <c r="C240" s="2">
        <f>HYPERLINK("https://svao.dolgi.msk.ru/account/1760197138/", 1760197138)</f>
        <v>1760197138</v>
      </c>
      <c r="D240">
        <v>147.71</v>
      </c>
    </row>
    <row r="241" spans="1:4" x14ac:dyDescent="0.25">
      <c r="A241" t="s">
        <v>130</v>
      </c>
      <c r="B241" t="s">
        <v>135</v>
      </c>
      <c r="C241" s="2">
        <f>HYPERLINK("https://svao.dolgi.msk.ru/account/1760197277/", 1760197277)</f>
        <v>1760197277</v>
      </c>
      <c r="D241">
        <v>3230.43</v>
      </c>
    </row>
    <row r="242" spans="1:4" x14ac:dyDescent="0.25">
      <c r="A242" t="s">
        <v>130</v>
      </c>
      <c r="B242" t="s">
        <v>86</v>
      </c>
      <c r="C242" s="2">
        <f>HYPERLINK("https://svao.dolgi.msk.ru/account/1760197285/", 1760197285)</f>
        <v>1760197285</v>
      </c>
      <c r="D242">
        <v>12646.62</v>
      </c>
    </row>
    <row r="243" spans="1:4" x14ac:dyDescent="0.25">
      <c r="A243" t="s">
        <v>130</v>
      </c>
      <c r="B243" t="s">
        <v>88</v>
      </c>
      <c r="C243" s="2">
        <f>HYPERLINK("https://svao.dolgi.msk.ru/account/1760197349/", 1760197349)</f>
        <v>1760197349</v>
      </c>
      <c r="D243">
        <v>4287.53</v>
      </c>
    </row>
    <row r="244" spans="1:4" x14ac:dyDescent="0.25">
      <c r="A244" t="s">
        <v>136</v>
      </c>
      <c r="B244" t="s">
        <v>101</v>
      </c>
      <c r="C244" s="2">
        <f>HYPERLINK("https://svao.dolgi.msk.ru/account/1760040982/", 1760040982)</f>
        <v>1760040982</v>
      </c>
      <c r="D244">
        <v>8505.1299999999992</v>
      </c>
    </row>
    <row r="245" spans="1:4" x14ac:dyDescent="0.25">
      <c r="A245" t="s">
        <v>136</v>
      </c>
      <c r="B245" t="s">
        <v>103</v>
      </c>
      <c r="C245" s="2">
        <f>HYPERLINK("https://svao.dolgi.msk.ru/account/1760041053/", 1760041053)</f>
        <v>1760041053</v>
      </c>
      <c r="D245">
        <v>9069</v>
      </c>
    </row>
    <row r="246" spans="1:4" x14ac:dyDescent="0.25">
      <c r="A246" t="s">
        <v>136</v>
      </c>
      <c r="B246" t="s">
        <v>137</v>
      </c>
      <c r="C246" s="2">
        <f>HYPERLINK("https://svao.dolgi.msk.ru/account/1760041117/", 1760041117)</f>
        <v>1760041117</v>
      </c>
      <c r="D246">
        <v>11419.6</v>
      </c>
    </row>
    <row r="247" spans="1:4" x14ac:dyDescent="0.25">
      <c r="A247" t="s">
        <v>136</v>
      </c>
      <c r="B247" t="s">
        <v>13</v>
      </c>
      <c r="C247" s="2">
        <f>HYPERLINK("https://svao.dolgi.msk.ru/account/1760041205/", 1760041205)</f>
        <v>1760041205</v>
      </c>
      <c r="D247">
        <v>7124.38</v>
      </c>
    </row>
    <row r="248" spans="1:4" x14ac:dyDescent="0.25">
      <c r="A248" t="s">
        <v>136</v>
      </c>
      <c r="B248" t="s">
        <v>106</v>
      </c>
      <c r="C248" s="2">
        <f>HYPERLINK("https://svao.dolgi.msk.ru/account/1760041475/", 1760041475)</f>
        <v>1760041475</v>
      </c>
      <c r="D248">
        <v>7647.16</v>
      </c>
    </row>
    <row r="249" spans="1:4" x14ac:dyDescent="0.25">
      <c r="A249" t="s">
        <v>136</v>
      </c>
      <c r="B249" t="s">
        <v>107</v>
      </c>
      <c r="C249" s="2">
        <f>HYPERLINK("https://svao.dolgi.msk.ru/account/1760278771/", 1760278771)</f>
        <v>1760278771</v>
      </c>
      <c r="D249">
        <v>339346.69</v>
      </c>
    </row>
    <row r="250" spans="1:4" x14ac:dyDescent="0.25">
      <c r="A250" t="s">
        <v>136</v>
      </c>
      <c r="B250" t="s">
        <v>17</v>
      </c>
      <c r="C250" s="2">
        <f>HYPERLINK("https://svao.dolgi.msk.ru/account/1760041299/", 1760041299)</f>
        <v>1760041299</v>
      </c>
      <c r="D250">
        <v>5321.85</v>
      </c>
    </row>
    <row r="251" spans="1:4" x14ac:dyDescent="0.25">
      <c r="A251" t="s">
        <v>136</v>
      </c>
      <c r="B251" t="s">
        <v>109</v>
      </c>
      <c r="C251" s="2">
        <f>HYPERLINK("https://svao.dolgi.msk.ru/account/1760041336/", 1760041336)</f>
        <v>1760041336</v>
      </c>
      <c r="D251">
        <v>4701.2</v>
      </c>
    </row>
    <row r="252" spans="1:4" x14ac:dyDescent="0.25">
      <c r="A252" t="s">
        <v>136</v>
      </c>
      <c r="B252" t="s">
        <v>92</v>
      </c>
      <c r="C252" s="2">
        <f>HYPERLINK("https://svao.dolgi.msk.ru/account/1760041387/", 1760041387)</f>
        <v>1760041387</v>
      </c>
      <c r="D252">
        <v>7689.98</v>
      </c>
    </row>
    <row r="253" spans="1:4" x14ac:dyDescent="0.25">
      <c r="A253" t="s">
        <v>136</v>
      </c>
      <c r="B253" t="s">
        <v>111</v>
      </c>
      <c r="C253" s="2">
        <f>HYPERLINK("https://svao.dolgi.msk.ru/account/1760041416/", 1760041416)</f>
        <v>1760041416</v>
      </c>
      <c r="D253">
        <v>568.61</v>
      </c>
    </row>
    <row r="254" spans="1:4" x14ac:dyDescent="0.25">
      <c r="A254" t="s">
        <v>136</v>
      </c>
      <c r="B254" t="s">
        <v>22</v>
      </c>
      <c r="C254" s="2">
        <f>HYPERLINK("https://svao.dolgi.msk.ru/account/1760041539/", 1760041539)</f>
        <v>1760041539</v>
      </c>
      <c r="D254">
        <v>721.9</v>
      </c>
    </row>
    <row r="255" spans="1:4" x14ac:dyDescent="0.25">
      <c r="A255" t="s">
        <v>136</v>
      </c>
      <c r="B255" t="s">
        <v>79</v>
      </c>
      <c r="C255" s="2">
        <f>HYPERLINK("https://svao.dolgi.msk.ru/account/1760041547/", 1760041547)</f>
        <v>1760041547</v>
      </c>
      <c r="D255">
        <v>48815.1</v>
      </c>
    </row>
    <row r="256" spans="1:4" x14ac:dyDescent="0.25">
      <c r="A256" t="s">
        <v>136</v>
      </c>
      <c r="B256" t="s">
        <v>124</v>
      </c>
      <c r="C256" s="2">
        <f>HYPERLINK("https://svao.dolgi.msk.ru/account/1760041555/", 1760041555)</f>
        <v>1760041555</v>
      </c>
      <c r="D256">
        <v>3498.27</v>
      </c>
    </row>
    <row r="257" spans="1:4" x14ac:dyDescent="0.25">
      <c r="A257" t="s">
        <v>136</v>
      </c>
      <c r="B257" t="s">
        <v>115</v>
      </c>
      <c r="C257" s="2">
        <f>HYPERLINK("https://svao.dolgi.msk.ru/account/1760041598/", 1760041598)</f>
        <v>1760041598</v>
      </c>
      <c r="D257">
        <v>7858.85</v>
      </c>
    </row>
    <row r="258" spans="1:4" x14ac:dyDescent="0.25">
      <c r="A258" t="s">
        <v>136</v>
      </c>
      <c r="B258" t="s">
        <v>131</v>
      </c>
      <c r="C258" s="2">
        <f>HYPERLINK("https://svao.dolgi.msk.ru/account/1760041694/", 1760041694)</f>
        <v>1760041694</v>
      </c>
      <c r="D258">
        <v>395.24</v>
      </c>
    </row>
    <row r="259" spans="1:4" x14ac:dyDescent="0.25">
      <c r="A259" t="s">
        <v>136</v>
      </c>
      <c r="B259" t="s">
        <v>126</v>
      </c>
      <c r="C259" s="2">
        <f>HYPERLINK("https://svao.dolgi.msk.ru/account/1760041715/", 1760041715)</f>
        <v>1760041715</v>
      </c>
      <c r="D259">
        <v>4041.74</v>
      </c>
    </row>
    <row r="260" spans="1:4" x14ac:dyDescent="0.25">
      <c r="A260" t="s">
        <v>136</v>
      </c>
      <c r="B260" t="s">
        <v>127</v>
      </c>
      <c r="C260" s="2">
        <f>HYPERLINK("https://svao.dolgi.msk.ru/account/1760041758/", 1760041758)</f>
        <v>1760041758</v>
      </c>
      <c r="D260">
        <v>227.73</v>
      </c>
    </row>
    <row r="261" spans="1:4" x14ac:dyDescent="0.25">
      <c r="A261" t="s">
        <v>136</v>
      </c>
      <c r="B261" t="s">
        <v>127</v>
      </c>
      <c r="C261" s="2">
        <f>HYPERLINK("https://svao.dolgi.msk.ru/account/1760041766/", 1760041766)</f>
        <v>1760041766</v>
      </c>
      <c r="D261">
        <v>6222.26</v>
      </c>
    </row>
    <row r="262" spans="1:4" x14ac:dyDescent="0.25">
      <c r="A262" t="s">
        <v>136</v>
      </c>
      <c r="B262" t="s">
        <v>81</v>
      </c>
      <c r="C262" s="2">
        <f>HYPERLINK("https://svao.dolgi.msk.ru/account/1760041782/", 1760041782)</f>
        <v>1760041782</v>
      </c>
      <c r="D262">
        <v>11617.4</v>
      </c>
    </row>
    <row r="263" spans="1:4" x14ac:dyDescent="0.25">
      <c r="A263" t="s">
        <v>136</v>
      </c>
      <c r="B263" t="s">
        <v>119</v>
      </c>
      <c r="C263" s="2">
        <f>HYPERLINK("https://svao.dolgi.msk.ru/account/1760041811/", 1760041811)</f>
        <v>1760041811</v>
      </c>
      <c r="D263">
        <v>5475.33</v>
      </c>
    </row>
    <row r="264" spans="1:4" x14ac:dyDescent="0.25">
      <c r="A264" t="s">
        <v>136</v>
      </c>
      <c r="B264" t="s">
        <v>133</v>
      </c>
      <c r="C264" s="2">
        <f>HYPERLINK("https://svao.dolgi.msk.ru/account/1760041926/", 1760041926)</f>
        <v>1760041926</v>
      </c>
      <c r="D264">
        <v>3929.24</v>
      </c>
    </row>
    <row r="265" spans="1:4" x14ac:dyDescent="0.25">
      <c r="A265" t="s">
        <v>136</v>
      </c>
      <c r="B265" t="s">
        <v>139</v>
      </c>
      <c r="C265" s="2">
        <f>HYPERLINK("https://svao.dolgi.msk.ru/account/1760042048/", 1760042048)</f>
        <v>1760042048</v>
      </c>
      <c r="D265">
        <v>9534.41</v>
      </c>
    </row>
    <row r="266" spans="1:4" x14ac:dyDescent="0.25">
      <c r="A266" t="s">
        <v>136</v>
      </c>
      <c r="B266" t="s">
        <v>29</v>
      </c>
      <c r="C266" s="2">
        <f>HYPERLINK("https://svao.dolgi.msk.ru/account/1760042064/", 1760042064)</f>
        <v>1760042064</v>
      </c>
      <c r="D266">
        <v>7182.67</v>
      </c>
    </row>
    <row r="267" spans="1:4" x14ac:dyDescent="0.25">
      <c r="A267" t="s">
        <v>136</v>
      </c>
      <c r="B267" t="s">
        <v>30</v>
      </c>
      <c r="C267" s="2">
        <f>HYPERLINK("https://svao.dolgi.msk.ru/account/1760042136/", 1760042136)</f>
        <v>1760042136</v>
      </c>
      <c r="D267">
        <v>6775.28</v>
      </c>
    </row>
    <row r="268" spans="1:4" x14ac:dyDescent="0.25">
      <c r="A268" t="s">
        <v>136</v>
      </c>
      <c r="B268" t="s">
        <v>32</v>
      </c>
      <c r="C268" s="2">
        <f>HYPERLINK("https://svao.dolgi.msk.ru/account/1760042232/", 1760042232)</f>
        <v>1760042232</v>
      </c>
      <c r="D268">
        <v>10032.82</v>
      </c>
    </row>
    <row r="269" spans="1:4" x14ac:dyDescent="0.25">
      <c r="A269" t="s">
        <v>136</v>
      </c>
      <c r="B269" t="s">
        <v>36</v>
      </c>
      <c r="C269" s="2">
        <f>HYPERLINK("https://svao.dolgi.msk.ru/account/1760042398/", 1760042398)</f>
        <v>1760042398</v>
      </c>
      <c r="D269">
        <v>2370.1999999999998</v>
      </c>
    </row>
    <row r="270" spans="1:4" x14ac:dyDescent="0.25">
      <c r="A270" t="s">
        <v>136</v>
      </c>
      <c r="B270" t="s">
        <v>37</v>
      </c>
      <c r="C270" s="2">
        <f>HYPERLINK("https://svao.dolgi.msk.ru/account/1760042443/", 1760042443)</f>
        <v>1760042443</v>
      </c>
      <c r="D270">
        <v>3369.9</v>
      </c>
    </row>
    <row r="271" spans="1:4" x14ac:dyDescent="0.25">
      <c r="A271" t="s">
        <v>136</v>
      </c>
      <c r="B271" t="s">
        <v>40</v>
      </c>
      <c r="C271" s="2">
        <f>HYPERLINK("https://svao.dolgi.msk.ru/account/1760042494/", 1760042494)</f>
        <v>1760042494</v>
      </c>
      <c r="D271">
        <v>5903.84</v>
      </c>
    </row>
    <row r="272" spans="1:4" x14ac:dyDescent="0.25">
      <c r="A272" t="s">
        <v>136</v>
      </c>
      <c r="B272" t="s">
        <v>140</v>
      </c>
      <c r="C272" s="2">
        <f>HYPERLINK("https://svao.dolgi.msk.ru/account/1760042515/", 1760042515)</f>
        <v>1760042515</v>
      </c>
      <c r="D272">
        <v>6647.1</v>
      </c>
    </row>
    <row r="273" spans="1:4" x14ac:dyDescent="0.25">
      <c r="A273" t="s">
        <v>136</v>
      </c>
      <c r="B273" t="s">
        <v>89</v>
      </c>
      <c r="C273" s="2">
        <f>HYPERLINK("https://svao.dolgi.msk.ru/account/1760177321/", 1760177321)</f>
        <v>1760177321</v>
      </c>
      <c r="D273">
        <v>10854.66</v>
      </c>
    </row>
    <row r="274" spans="1:4" x14ac:dyDescent="0.25">
      <c r="A274" t="s">
        <v>136</v>
      </c>
      <c r="B274" t="s">
        <v>142</v>
      </c>
      <c r="C274" s="2">
        <f>HYPERLINK("https://svao.dolgi.msk.ru/account/1760177348/", 1760177348)</f>
        <v>1760177348</v>
      </c>
      <c r="D274">
        <v>291.02</v>
      </c>
    </row>
    <row r="275" spans="1:4" x14ac:dyDescent="0.25">
      <c r="A275" t="s">
        <v>136</v>
      </c>
      <c r="B275" t="s">
        <v>142</v>
      </c>
      <c r="C275" s="2">
        <f>HYPERLINK("https://svao.dolgi.msk.ru/account/1760177356/", 1760177356)</f>
        <v>1760177356</v>
      </c>
      <c r="D275">
        <v>22827.93</v>
      </c>
    </row>
    <row r="276" spans="1:4" x14ac:dyDescent="0.25">
      <c r="A276" t="s">
        <v>136</v>
      </c>
      <c r="B276" t="s">
        <v>143</v>
      </c>
      <c r="C276" s="2">
        <f>HYPERLINK("https://svao.dolgi.msk.ru/account/1760177399/", 1760177399)</f>
        <v>1760177399</v>
      </c>
      <c r="D276">
        <v>7501.51</v>
      </c>
    </row>
    <row r="277" spans="1:4" x14ac:dyDescent="0.25">
      <c r="A277" t="s">
        <v>136</v>
      </c>
      <c r="B277" t="s">
        <v>144</v>
      </c>
      <c r="C277" s="2">
        <f>HYPERLINK("https://svao.dolgi.msk.ru/account/1760177428/", 1760177428)</f>
        <v>1760177428</v>
      </c>
      <c r="D277">
        <v>8895.17</v>
      </c>
    </row>
    <row r="278" spans="1:4" x14ac:dyDescent="0.25">
      <c r="A278" t="s">
        <v>136</v>
      </c>
      <c r="B278" t="s">
        <v>145</v>
      </c>
      <c r="C278" s="2">
        <f>HYPERLINK("https://svao.dolgi.msk.ru/account/1760177495/", 1760177495)</f>
        <v>1760177495</v>
      </c>
      <c r="D278">
        <v>13574.84</v>
      </c>
    </row>
    <row r="279" spans="1:4" x14ac:dyDescent="0.25">
      <c r="A279" t="s">
        <v>136</v>
      </c>
      <c r="B279" t="s">
        <v>146</v>
      </c>
      <c r="C279" s="2">
        <f>HYPERLINK("https://svao.dolgi.msk.ru/account/1760177575/", 1760177575)</f>
        <v>1760177575</v>
      </c>
      <c r="D279">
        <v>7080.11</v>
      </c>
    </row>
    <row r="280" spans="1:4" x14ac:dyDescent="0.25">
      <c r="A280" t="s">
        <v>136</v>
      </c>
      <c r="B280" t="s">
        <v>48</v>
      </c>
      <c r="C280" s="2">
        <f>HYPERLINK("https://svao.dolgi.msk.ru/account/1760177591/", 1760177591)</f>
        <v>1760177591</v>
      </c>
      <c r="D280">
        <v>11563.32</v>
      </c>
    </row>
    <row r="281" spans="1:4" x14ac:dyDescent="0.25">
      <c r="A281" t="s">
        <v>136</v>
      </c>
      <c r="B281" t="s">
        <v>147</v>
      </c>
      <c r="C281" s="2">
        <f>HYPERLINK("https://svao.dolgi.msk.ru/account/1760177655/", 1760177655)</f>
        <v>1760177655</v>
      </c>
      <c r="D281">
        <v>1292.2</v>
      </c>
    </row>
    <row r="282" spans="1:4" x14ac:dyDescent="0.25">
      <c r="A282" t="s">
        <v>136</v>
      </c>
      <c r="B282" t="s">
        <v>50</v>
      </c>
      <c r="C282" s="2">
        <f>HYPERLINK("https://svao.dolgi.msk.ru/account/1760177743/", 1760177743)</f>
        <v>1760177743</v>
      </c>
      <c r="D282">
        <v>12514.99</v>
      </c>
    </row>
    <row r="283" spans="1:4" x14ac:dyDescent="0.25">
      <c r="A283" t="s">
        <v>136</v>
      </c>
      <c r="B283" t="s">
        <v>148</v>
      </c>
      <c r="C283" s="2">
        <f>HYPERLINK("https://svao.dolgi.msk.ru/account/1760177815/", 1760177815)</f>
        <v>1760177815</v>
      </c>
      <c r="D283">
        <v>8515.23</v>
      </c>
    </row>
    <row r="284" spans="1:4" x14ac:dyDescent="0.25">
      <c r="A284" t="s">
        <v>136</v>
      </c>
      <c r="B284" t="s">
        <v>149</v>
      </c>
      <c r="C284" s="2">
        <f>HYPERLINK("https://svao.dolgi.msk.ru/account/1760177831/", 1760177831)</f>
        <v>1760177831</v>
      </c>
      <c r="D284">
        <v>20164.88</v>
      </c>
    </row>
    <row r="285" spans="1:4" x14ac:dyDescent="0.25">
      <c r="A285" t="s">
        <v>136</v>
      </c>
      <c r="B285" t="s">
        <v>150</v>
      </c>
      <c r="C285" s="2">
        <f>HYPERLINK("https://svao.dolgi.msk.ru/account/1760177874/", 1760177874)</f>
        <v>1760177874</v>
      </c>
      <c r="D285">
        <v>5493.96</v>
      </c>
    </row>
    <row r="286" spans="1:4" x14ac:dyDescent="0.25">
      <c r="A286" t="s">
        <v>136</v>
      </c>
      <c r="B286" t="s">
        <v>151</v>
      </c>
      <c r="C286" s="2">
        <f>HYPERLINK("https://svao.dolgi.msk.ru/account/1760177882/", 1760177882)</f>
        <v>1760177882</v>
      </c>
      <c r="D286">
        <v>5729.55</v>
      </c>
    </row>
    <row r="287" spans="1:4" x14ac:dyDescent="0.25">
      <c r="A287" t="s">
        <v>136</v>
      </c>
      <c r="B287" t="s">
        <v>152</v>
      </c>
      <c r="C287" s="2">
        <f>HYPERLINK("https://svao.dolgi.msk.ru/account/1760177946/", 1760177946)</f>
        <v>1760177946</v>
      </c>
      <c r="D287">
        <v>7867.59</v>
      </c>
    </row>
    <row r="288" spans="1:4" x14ac:dyDescent="0.25">
      <c r="A288" t="s">
        <v>136</v>
      </c>
      <c r="B288" t="s">
        <v>53</v>
      </c>
      <c r="C288" s="2">
        <f>HYPERLINK("https://svao.dolgi.msk.ru/account/1760042531/", 1760042531)</f>
        <v>1760042531</v>
      </c>
      <c r="D288">
        <v>14122.72</v>
      </c>
    </row>
    <row r="289" spans="1:4" x14ac:dyDescent="0.25">
      <c r="A289" t="s">
        <v>136</v>
      </c>
      <c r="B289" t="s">
        <v>153</v>
      </c>
      <c r="C289" s="2">
        <f>HYPERLINK("https://svao.dolgi.msk.ru/account/1760042718/", 1760042718)</f>
        <v>1760042718</v>
      </c>
      <c r="D289">
        <v>5309.7</v>
      </c>
    </row>
    <row r="290" spans="1:4" x14ac:dyDescent="0.25">
      <c r="A290" t="s">
        <v>136</v>
      </c>
      <c r="B290" t="s">
        <v>154</v>
      </c>
      <c r="C290" s="2">
        <f>HYPERLINK("https://svao.dolgi.msk.ru/account/1760042742/", 1760042742)</f>
        <v>1760042742</v>
      </c>
      <c r="D290">
        <v>8913.1299999999992</v>
      </c>
    </row>
    <row r="291" spans="1:4" x14ac:dyDescent="0.25">
      <c r="A291" t="s">
        <v>136</v>
      </c>
      <c r="B291" t="s">
        <v>155</v>
      </c>
      <c r="C291" s="2">
        <f>HYPERLINK("https://svao.dolgi.msk.ru/account/1760042793/", 1760042793)</f>
        <v>1760042793</v>
      </c>
      <c r="D291">
        <v>237.77</v>
      </c>
    </row>
    <row r="292" spans="1:4" x14ac:dyDescent="0.25">
      <c r="A292" t="s">
        <v>136</v>
      </c>
      <c r="B292" t="s">
        <v>156</v>
      </c>
      <c r="C292" s="2">
        <f>HYPERLINK("https://svao.dolgi.msk.ru/account/1760042806/", 1760042806)</f>
        <v>1760042806</v>
      </c>
      <c r="D292">
        <v>4377.2299999999996</v>
      </c>
    </row>
    <row r="293" spans="1:4" x14ac:dyDescent="0.25">
      <c r="A293" t="s">
        <v>136</v>
      </c>
      <c r="B293" t="s">
        <v>157</v>
      </c>
      <c r="C293" s="2">
        <f>HYPERLINK("https://svao.dolgi.msk.ru/account/1760042814/", 1760042814)</f>
        <v>1760042814</v>
      </c>
      <c r="D293">
        <v>4910.32</v>
      </c>
    </row>
    <row r="294" spans="1:4" x14ac:dyDescent="0.25">
      <c r="A294" t="s">
        <v>136</v>
      </c>
      <c r="B294" t="s">
        <v>57</v>
      </c>
      <c r="C294" s="2">
        <f>HYPERLINK("https://svao.dolgi.msk.ru/account/1760042873/", 1760042873)</f>
        <v>1760042873</v>
      </c>
      <c r="D294">
        <v>4391.47</v>
      </c>
    </row>
    <row r="295" spans="1:4" x14ac:dyDescent="0.25">
      <c r="A295" t="s">
        <v>136</v>
      </c>
      <c r="B295" t="s">
        <v>58</v>
      </c>
      <c r="C295" s="2">
        <f>HYPERLINK("https://svao.dolgi.msk.ru/account/1760042881/", 1760042881)</f>
        <v>1760042881</v>
      </c>
      <c r="D295">
        <v>4109.09</v>
      </c>
    </row>
    <row r="296" spans="1:4" x14ac:dyDescent="0.25">
      <c r="A296" t="s">
        <v>136</v>
      </c>
      <c r="B296" t="s">
        <v>158</v>
      </c>
      <c r="C296" s="2">
        <f>HYPERLINK("https://svao.dolgi.msk.ru/account/1760042929/", 1760042929)</f>
        <v>1760042929</v>
      </c>
      <c r="D296">
        <v>6246.6</v>
      </c>
    </row>
    <row r="297" spans="1:4" x14ac:dyDescent="0.25">
      <c r="A297" t="s">
        <v>136</v>
      </c>
      <c r="B297" t="s">
        <v>59</v>
      </c>
      <c r="C297" s="2">
        <f>HYPERLINK("https://svao.dolgi.msk.ru/account/1760042937/", 1760042937)</f>
        <v>1760042937</v>
      </c>
      <c r="D297">
        <v>20952.96</v>
      </c>
    </row>
    <row r="298" spans="1:4" x14ac:dyDescent="0.25">
      <c r="A298" t="s">
        <v>136</v>
      </c>
      <c r="B298" t="s">
        <v>60</v>
      </c>
      <c r="C298" s="2">
        <f>HYPERLINK("https://svao.dolgi.msk.ru/account/1760042961/", 1760042961)</f>
        <v>1760042961</v>
      </c>
      <c r="D298">
        <v>5494.42</v>
      </c>
    </row>
    <row r="299" spans="1:4" x14ac:dyDescent="0.25">
      <c r="A299" t="s">
        <v>136</v>
      </c>
      <c r="B299" t="s">
        <v>159</v>
      </c>
      <c r="C299" s="2">
        <f>HYPERLINK("https://svao.dolgi.msk.ru/account/1760043024/", 1760043024)</f>
        <v>1760043024</v>
      </c>
      <c r="D299">
        <v>4243.47</v>
      </c>
    </row>
    <row r="300" spans="1:4" x14ac:dyDescent="0.25">
      <c r="A300" t="s">
        <v>136</v>
      </c>
      <c r="B300" t="s">
        <v>62</v>
      </c>
      <c r="C300" s="2">
        <f>HYPERLINK("https://svao.dolgi.msk.ru/account/1760043032/", 1760043032)</f>
        <v>1760043032</v>
      </c>
      <c r="D300">
        <v>4998.88</v>
      </c>
    </row>
    <row r="301" spans="1:4" x14ac:dyDescent="0.25">
      <c r="A301" t="s">
        <v>136</v>
      </c>
      <c r="B301" t="s">
        <v>160</v>
      </c>
      <c r="C301" s="2">
        <f>HYPERLINK("https://svao.dolgi.msk.ru/account/1760043075/", 1760043075)</f>
        <v>1760043075</v>
      </c>
      <c r="D301">
        <v>54757.55</v>
      </c>
    </row>
    <row r="302" spans="1:4" x14ac:dyDescent="0.25">
      <c r="A302" t="s">
        <v>136</v>
      </c>
      <c r="B302" t="s">
        <v>64</v>
      </c>
      <c r="C302" s="2">
        <f>HYPERLINK("https://svao.dolgi.msk.ru/account/1760043104/", 1760043104)</f>
        <v>1760043104</v>
      </c>
      <c r="D302">
        <v>25448.62</v>
      </c>
    </row>
    <row r="303" spans="1:4" x14ac:dyDescent="0.25">
      <c r="A303" t="s">
        <v>136</v>
      </c>
      <c r="B303" t="s">
        <v>64</v>
      </c>
      <c r="C303" s="2">
        <f>HYPERLINK("https://svao.dolgi.msk.ru/account/1760043112/", 1760043112)</f>
        <v>1760043112</v>
      </c>
      <c r="D303">
        <v>9466.3799999999992</v>
      </c>
    </row>
    <row r="304" spans="1:4" x14ac:dyDescent="0.25">
      <c r="A304" t="s">
        <v>136</v>
      </c>
      <c r="B304" t="s">
        <v>65</v>
      </c>
      <c r="C304" s="2">
        <f>HYPERLINK("https://svao.dolgi.msk.ru/account/1760043139/", 1760043139)</f>
        <v>1760043139</v>
      </c>
      <c r="D304">
        <v>7377.52</v>
      </c>
    </row>
    <row r="305" spans="1:4" x14ac:dyDescent="0.25">
      <c r="A305" t="s">
        <v>136</v>
      </c>
      <c r="B305" t="s">
        <v>66</v>
      </c>
      <c r="C305" s="2">
        <f>HYPERLINK("https://svao.dolgi.msk.ru/account/1760043147/", 1760043147)</f>
        <v>1760043147</v>
      </c>
      <c r="D305">
        <v>8291.43</v>
      </c>
    </row>
    <row r="306" spans="1:4" x14ac:dyDescent="0.25">
      <c r="A306" t="s">
        <v>136</v>
      </c>
      <c r="B306" t="s">
        <v>161</v>
      </c>
      <c r="C306" s="2">
        <f>HYPERLINK("https://svao.dolgi.msk.ru/account/1760043155/", 1760043155)</f>
        <v>1760043155</v>
      </c>
      <c r="D306">
        <v>6589.99</v>
      </c>
    </row>
    <row r="307" spans="1:4" x14ac:dyDescent="0.25">
      <c r="A307" t="s">
        <v>136</v>
      </c>
      <c r="B307" t="s">
        <v>162</v>
      </c>
      <c r="C307" s="2">
        <f>HYPERLINK("https://svao.dolgi.msk.ru/account/1760043278/", 1760043278)</f>
        <v>1760043278</v>
      </c>
      <c r="D307">
        <v>8606.11</v>
      </c>
    </row>
    <row r="308" spans="1:4" x14ac:dyDescent="0.25">
      <c r="A308" t="s">
        <v>136</v>
      </c>
      <c r="B308" t="s">
        <v>163</v>
      </c>
      <c r="C308" s="2">
        <f>HYPERLINK("https://svao.dolgi.msk.ru/account/1760043294/", 1760043294)</f>
        <v>1760043294</v>
      </c>
      <c r="D308">
        <v>4132.8999999999996</v>
      </c>
    </row>
    <row r="309" spans="1:4" x14ac:dyDescent="0.25">
      <c r="A309" t="s">
        <v>136</v>
      </c>
      <c r="B309" t="s">
        <v>164</v>
      </c>
      <c r="C309" s="2">
        <f>HYPERLINK("https://svao.dolgi.msk.ru/account/1760043358/", 1760043358)</f>
        <v>1760043358</v>
      </c>
      <c r="D309">
        <v>7183.79</v>
      </c>
    </row>
    <row r="310" spans="1:4" x14ac:dyDescent="0.25">
      <c r="A310" t="s">
        <v>136</v>
      </c>
      <c r="B310" t="s">
        <v>69</v>
      </c>
      <c r="C310" s="2">
        <f>HYPERLINK("https://svao.dolgi.msk.ru/account/1760043366/", 1760043366)</f>
        <v>1760043366</v>
      </c>
      <c r="D310">
        <v>6520.13</v>
      </c>
    </row>
    <row r="311" spans="1:4" x14ac:dyDescent="0.25">
      <c r="A311" t="s">
        <v>136</v>
      </c>
      <c r="B311" t="s">
        <v>165</v>
      </c>
      <c r="C311" s="2">
        <f>HYPERLINK("https://svao.dolgi.msk.ru/account/1760043497/", 1760043497)</f>
        <v>1760043497</v>
      </c>
      <c r="D311">
        <v>25894.61</v>
      </c>
    </row>
    <row r="312" spans="1:4" x14ac:dyDescent="0.25">
      <c r="A312" t="s">
        <v>136</v>
      </c>
      <c r="B312" t="s">
        <v>166</v>
      </c>
      <c r="C312" s="2">
        <f>HYPERLINK("https://svao.dolgi.msk.ru/account/1760043518/", 1760043518)</f>
        <v>1760043518</v>
      </c>
      <c r="D312">
        <v>78871.64</v>
      </c>
    </row>
    <row r="313" spans="1:4" x14ac:dyDescent="0.25">
      <c r="A313" t="s">
        <v>136</v>
      </c>
      <c r="B313" t="s">
        <v>167</v>
      </c>
      <c r="C313" s="2">
        <f>HYPERLINK("https://svao.dolgi.msk.ru/account/1760043534/", 1760043534)</f>
        <v>1760043534</v>
      </c>
      <c r="D313">
        <v>450212.14</v>
      </c>
    </row>
    <row r="314" spans="1:4" x14ac:dyDescent="0.25">
      <c r="A314" t="s">
        <v>136</v>
      </c>
      <c r="B314" t="s">
        <v>168</v>
      </c>
      <c r="C314" s="2">
        <f>HYPERLINK("https://svao.dolgi.msk.ru/account/1760043585/", 1760043585)</f>
        <v>1760043585</v>
      </c>
      <c r="D314">
        <v>258467.36</v>
      </c>
    </row>
    <row r="315" spans="1:4" x14ac:dyDescent="0.25">
      <c r="A315" t="s">
        <v>136</v>
      </c>
      <c r="B315" t="s">
        <v>169</v>
      </c>
      <c r="C315" s="2">
        <f>HYPERLINK("https://svao.dolgi.msk.ru/account/1760043593/", 1760043593)</f>
        <v>1760043593</v>
      </c>
      <c r="D315">
        <v>258130.69</v>
      </c>
    </row>
    <row r="316" spans="1:4" x14ac:dyDescent="0.25">
      <c r="A316" t="s">
        <v>136</v>
      </c>
      <c r="B316" t="s">
        <v>169</v>
      </c>
      <c r="C316" s="2">
        <f>HYPERLINK("https://svao.dolgi.msk.ru/account/1760043606/", 1760043606)</f>
        <v>1760043606</v>
      </c>
      <c r="D316">
        <v>330.19</v>
      </c>
    </row>
    <row r="317" spans="1:4" x14ac:dyDescent="0.25">
      <c r="A317" t="s">
        <v>136</v>
      </c>
      <c r="B317" t="s">
        <v>170</v>
      </c>
      <c r="C317" s="2">
        <f>HYPERLINK("https://svao.dolgi.msk.ru/account/1760043649/", 1760043649)</f>
        <v>1760043649</v>
      </c>
      <c r="D317">
        <v>6884.82</v>
      </c>
    </row>
    <row r="318" spans="1:4" x14ac:dyDescent="0.25">
      <c r="A318" t="s">
        <v>136</v>
      </c>
      <c r="B318" t="s">
        <v>171</v>
      </c>
      <c r="C318" s="2">
        <f>HYPERLINK("https://svao.dolgi.msk.ru/account/1760043681/", 1760043681)</f>
        <v>1760043681</v>
      </c>
      <c r="D318">
        <v>166883.85</v>
      </c>
    </row>
    <row r="319" spans="1:4" x14ac:dyDescent="0.25">
      <c r="A319" t="s">
        <v>136</v>
      </c>
      <c r="B319" t="s">
        <v>172</v>
      </c>
      <c r="C319" s="2">
        <f>HYPERLINK("https://svao.dolgi.msk.ru/account/1760043737/", 1760043737)</f>
        <v>1760043737</v>
      </c>
      <c r="D319">
        <v>4756.2</v>
      </c>
    </row>
    <row r="320" spans="1:4" x14ac:dyDescent="0.25">
      <c r="A320" t="s">
        <v>136</v>
      </c>
      <c r="B320" t="s">
        <v>173</v>
      </c>
      <c r="C320" s="2">
        <f>HYPERLINK("https://svao.dolgi.msk.ru/account/1760043809/", 1760043809)</f>
        <v>1760043809</v>
      </c>
      <c r="D320">
        <v>477.86</v>
      </c>
    </row>
    <row r="321" spans="1:4" x14ac:dyDescent="0.25">
      <c r="A321" t="s">
        <v>136</v>
      </c>
      <c r="B321" t="s">
        <v>173</v>
      </c>
      <c r="C321" s="2">
        <f>HYPERLINK("https://svao.dolgi.msk.ru/account/1760043825/", 1760043825)</f>
        <v>1760043825</v>
      </c>
      <c r="D321">
        <v>2701.23</v>
      </c>
    </row>
    <row r="322" spans="1:4" x14ac:dyDescent="0.25">
      <c r="A322" t="s">
        <v>136</v>
      </c>
      <c r="B322" t="s">
        <v>174</v>
      </c>
      <c r="C322" s="2">
        <f>HYPERLINK("https://svao.dolgi.msk.ru/account/1760043948/", 1760043948)</f>
        <v>1760043948</v>
      </c>
      <c r="D322">
        <v>16521.88</v>
      </c>
    </row>
    <row r="323" spans="1:4" x14ac:dyDescent="0.25">
      <c r="A323" t="s">
        <v>136</v>
      </c>
      <c r="B323" t="s">
        <v>175</v>
      </c>
      <c r="C323" s="2">
        <f>HYPERLINK("https://svao.dolgi.msk.ru/account/1760043964/", 1760043964)</f>
        <v>1760043964</v>
      </c>
      <c r="D323">
        <v>5124.88</v>
      </c>
    </row>
    <row r="324" spans="1:4" x14ac:dyDescent="0.25">
      <c r="A324" t="s">
        <v>136</v>
      </c>
      <c r="B324" t="s">
        <v>176</v>
      </c>
      <c r="C324" s="2">
        <f>HYPERLINK("https://svao.dolgi.msk.ru/account/1760043999/", 1760043999)</f>
        <v>1760043999</v>
      </c>
      <c r="D324">
        <v>239898.5</v>
      </c>
    </row>
    <row r="325" spans="1:4" x14ac:dyDescent="0.25">
      <c r="A325" t="s">
        <v>136</v>
      </c>
      <c r="B325" t="s">
        <v>177</v>
      </c>
      <c r="C325" s="2">
        <f>HYPERLINK("https://svao.dolgi.msk.ru/account/1760044027/", 1760044027)</f>
        <v>1760044027</v>
      </c>
      <c r="D325">
        <v>14881.99</v>
      </c>
    </row>
    <row r="326" spans="1:4" x14ac:dyDescent="0.25">
      <c r="A326" t="s">
        <v>136</v>
      </c>
      <c r="B326" t="s">
        <v>178</v>
      </c>
      <c r="C326" s="2">
        <f>HYPERLINK("https://svao.dolgi.msk.ru/account/1760044115/", 1760044115)</f>
        <v>1760044115</v>
      </c>
      <c r="D326">
        <v>17242.64</v>
      </c>
    </row>
    <row r="327" spans="1:4" x14ac:dyDescent="0.25">
      <c r="A327" t="s">
        <v>136</v>
      </c>
      <c r="B327" t="s">
        <v>179</v>
      </c>
      <c r="C327" s="2">
        <f>HYPERLINK("https://svao.dolgi.msk.ru/account/1760044123/", 1760044123)</f>
        <v>1760044123</v>
      </c>
      <c r="D327">
        <v>1212.71</v>
      </c>
    </row>
    <row r="328" spans="1:4" x14ac:dyDescent="0.25">
      <c r="A328" t="s">
        <v>136</v>
      </c>
      <c r="B328" t="s">
        <v>180</v>
      </c>
      <c r="C328" s="2">
        <f>HYPERLINK("https://svao.dolgi.msk.ru/account/1760044131/", 1760044131)</f>
        <v>1760044131</v>
      </c>
      <c r="D328">
        <v>6779.51</v>
      </c>
    </row>
    <row r="329" spans="1:4" x14ac:dyDescent="0.25">
      <c r="A329" t="s">
        <v>136</v>
      </c>
      <c r="B329" t="s">
        <v>181</v>
      </c>
      <c r="C329" s="2">
        <f>HYPERLINK("https://svao.dolgi.msk.ru/account/1760044182/", 1760044182)</f>
        <v>1760044182</v>
      </c>
      <c r="D329">
        <v>9850.1299999999992</v>
      </c>
    </row>
    <row r="330" spans="1:4" x14ac:dyDescent="0.25">
      <c r="A330" t="s">
        <v>136</v>
      </c>
      <c r="B330" t="s">
        <v>182</v>
      </c>
      <c r="C330" s="2">
        <f>HYPERLINK("https://svao.dolgi.msk.ru/account/1760262358/", 1760262358)</f>
        <v>1760262358</v>
      </c>
      <c r="D330">
        <v>7572.35</v>
      </c>
    </row>
    <row r="331" spans="1:4" x14ac:dyDescent="0.25">
      <c r="A331" t="s">
        <v>136</v>
      </c>
      <c r="B331" t="s">
        <v>183</v>
      </c>
      <c r="C331" s="2">
        <f>HYPERLINK("https://svao.dolgi.msk.ru/account/1760044393/", 1760044393)</f>
        <v>1760044393</v>
      </c>
      <c r="D331">
        <v>232983.76</v>
      </c>
    </row>
    <row r="332" spans="1:4" x14ac:dyDescent="0.25">
      <c r="A332" t="s">
        <v>136</v>
      </c>
      <c r="B332" t="s">
        <v>184</v>
      </c>
      <c r="C332" s="2">
        <f>HYPERLINK("https://svao.dolgi.msk.ru/account/1760044414/", 1760044414)</f>
        <v>1760044414</v>
      </c>
      <c r="D332">
        <v>7873.52</v>
      </c>
    </row>
    <row r="333" spans="1:4" x14ac:dyDescent="0.25">
      <c r="A333" t="s">
        <v>136</v>
      </c>
      <c r="B333" t="s">
        <v>185</v>
      </c>
      <c r="C333" s="2">
        <f>HYPERLINK("https://svao.dolgi.msk.ru/account/1760044422/", 1760044422)</f>
        <v>1760044422</v>
      </c>
      <c r="D333">
        <v>4451.07</v>
      </c>
    </row>
    <row r="334" spans="1:4" x14ac:dyDescent="0.25">
      <c r="A334" t="s">
        <v>136</v>
      </c>
      <c r="B334" t="s">
        <v>186</v>
      </c>
      <c r="C334" s="2">
        <f>HYPERLINK("https://svao.dolgi.msk.ru/account/1760044473/", 1760044473)</f>
        <v>1760044473</v>
      </c>
      <c r="D334">
        <v>6802.75</v>
      </c>
    </row>
    <row r="335" spans="1:4" x14ac:dyDescent="0.25">
      <c r="A335" t="s">
        <v>136</v>
      </c>
      <c r="B335" t="s">
        <v>187</v>
      </c>
      <c r="C335" s="2">
        <f>HYPERLINK("https://svao.dolgi.msk.ru/account/1760044449/", 1760044449)</f>
        <v>1760044449</v>
      </c>
      <c r="D335">
        <v>87300.83</v>
      </c>
    </row>
    <row r="336" spans="1:4" x14ac:dyDescent="0.25">
      <c r="A336" t="s">
        <v>136</v>
      </c>
      <c r="B336" t="s">
        <v>187</v>
      </c>
      <c r="C336" s="2">
        <f>HYPERLINK("https://svao.dolgi.msk.ru/account/1760044545/", 1760044545)</f>
        <v>1760044545</v>
      </c>
      <c r="D336">
        <v>5680.2</v>
      </c>
    </row>
    <row r="337" spans="1:4" x14ac:dyDescent="0.25">
      <c r="A337" t="s">
        <v>136</v>
      </c>
      <c r="B337" t="s">
        <v>187</v>
      </c>
      <c r="C337" s="2">
        <f>HYPERLINK("https://svao.dolgi.msk.ru/account/1760044553/", 1760044553)</f>
        <v>1760044553</v>
      </c>
      <c r="D337">
        <v>104292.89</v>
      </c>
    </row>
    <row r="338" spans="1:4" x14ac:dyDescent="0.25">
      <c r="A338" t="s">
        <v>136</v>
      </c>
      <c r="B338" t="s">
        <v>188</v>
      </c>
      <c r="C338" s="2">
        <f>HYPERLINK("https://svao.dolgi.msk.ru/account/1760044561/", 1760044561)</f>
        <v>1760044561</v>
      </c>
      <c r="D338">
        <v>4325.59</v>
      </c>
    </row>
    <row r="339" spans="1:4" x14ac:dyDescent="0.25">
      <c r="A339" t="s">
        <v>136</v>
      </c>
      <c r="B339" t="s">
        <v>189</v>
      </c>
      <c r="C339" s="2">
        <f>HYPERLINK("https://svao.dolgi.msk.ru/account/1760044609/", 1760044609)</f>
        <v>1760044609</v>
      </c>
      <c r="D339">
        <v>6283.49</v>
      </c>
    </row>
    <row r="340" spans="1:4" x14ac:dyDescent="0.25">
      <c r="A340" t="s">
        <v>136</v>
      </c>
      <c r="B340" t="s">
        <v>190</v>
      </c>
      <c r="C340" s="2">
        <f>HYPERLINK("https://svao.dolgi.msk.ru/account/1760044617/", 1760044617)</f>
        <v>1760044617</v>
      </c>
      <c r="D340">
        <v>7897.38</v>
      </c>
    </row>
    <row r="341" spans="1:4" x14ac:dyDescent="0.25">
      <c r="A341" t="s">
        <v>136</v>
      </c>
      <c r="B341" t="s">
        <v>191</v>
      </c>
      <c r="C341" s="2">
        <f>HYPERLINK("https://svao.dolgi.msk.ru/account/1760044668/", 1760044668)</f>
        <v>1760044668</v>
      </c>
      <c r="D341">
        <v>7724.94</v>
      </c>
    </row>
    <row r="342" spans="1:4" x14ac:dyDescent="0.25">
      <c r="A342" t="s">
        <v>136</v>
      </c>
      <c r="B342" t="s">
        <v>192</v>
      </c>
      <c r="C342" s="2">
        <f>HYPERLINK("https://svao.dolgi.msk.ru/account/1760044676/", 1760044676)</f>
        <v>1760044676</v>
      </c>
      <c r="D342">
        <v>4758.16</v>
      </c>
    </row>
    <row r="343" spans="1:4" x14ac:dyDescent="0.25">
      <c r="A343" t="s">
        <v>136</v>
      </c>
      <c r="B343" t="s">
        <v>193</v>
      </c>
      <c r="C343" s="2">
        <f>HYPERLINK("https://svao.dolgi.msk.ru/account/1760044772/", 1760044772)</f>
        <v>1760044772</v>
      </c>
      <c r="D343">
        <v>5041.88</v>
      </c>
    </row>
    <row r="344" spans="1:4" x14ac:dyDescent="0.25">
      <c r="A344" t="s">
        <v>136</v>
      </c>
      <c r="B344" t="s">
        <v>194</v>
      </c>
      <c r="C344" s="2">
        <f>HYPERLINK("https://svao.dolgi.msk.ru/account/1760044799/", 1760044799)</f>
        <v>1760044799</v>
      </c>
      <c r="D344">
        <v>9596.42</v>
      </c>
    </row>
    <row r="345" spans="1:4" x14ac:dyDescent="0.25">
      <c r="A345" t="s">
        <v>136</v>
      </c>
      <c r="B345" t="s">
        <v>195</v>
      </c>
      <c r="C345" s="2">
        <f>HYPERLINK("https://svao.dolgi.msk.ru/account/1760044801/", 1760044801)</f>
        <v>1760044801</v>
      </c>
      <c r="D345">
        <v>8057.77</v>
      </c>
    </row>
    <row r="346" spans="1:4" x14ac:dyDescent="0.25">
      <c r="A346" t="s">
        <v>136</v>
      </c>
      <c r="B346" t="s">
        <v>196</v>
      </c>
      <c r="C346" s="2">
        <f>HYPERLINK("https://svao.dolgi.msk.ru/account/1760044836/", 1760044836)</f>
        <v>1760044836</v>
      </c>
      <c r="D346">
        <v>251428.61</v>
      </c>
    </row>
    <row r="347" spans="1:4" x14ac:dyDescent="0.25">
      <c r="A347" t="s">
        <v>136</v>
      </c>
      <c r="B347" t="s">
        <v>197</v>
      </c>
      <c r="C347" s="2">
        <f>HYPERLINK("https://svao.dolgi.msk.ru/account/1760044975/", 1760044975)</f>
        <v>1760044975</v>
      </c>
      <c r="D347">
        <v>7912.95</v>
      </c>
    </row>
    <row r="348" spans="1:4" x14ac:dyDescent="0.25">
      <c r="A348" t="s">
        <v>136</v>
      </c>
      <c r="B348" t="s">
        <v>198</v>
      </c>
      <c r="C348" s="2">
        <f>HYPERLINK("https://svao.dolgi.msk.ru/account/1760044983/", 1760044983)</f>
        <v>1760044983</v>
      </c>
      <c r="D348">
        <v>8862.3700000000008</v>
      </c>
    </row>
    <row r="349" spans="1:4" x14ac:dyDescent="0.25">
      <c r="A349" t="s">
        <v>136</v>
      </c>
      <c r="B349" t="s">
        <v>199</v>
      </c>
      <c r="C349" s="2">
        <f>HYPERLINK("https://svao.dolgi.msk.ru/account/1760045011/", 1760045011)</f>
        <v>1760045011</v>
      </c>
      <c r="D349">
        <v>3530.34</v>
      </c>
    </row>
    <row r="350" spans="1:4" x14ac:dyDescent="0.25">
      <c r="A350" t="s">
        <v>136</v>
      </c>
      <c r="B350" t="s">
        <v>200</v>
      </c>
      <c r="C350" s="2">
        <f>HYPERLINK("https://svao.dolgi.msk.ru/account/1760045038/", 1760045038)</f>
        <v>1760045038</v>
      </c>
      <c r="D350">
        <v>6094.58</v>
      </c>
    </row>
    <row r="351" spans="1:4" x14ac:dyDescent="0.25">
      <c r="A351" t="s">
        <v>136</v>
      </c>
      <c r="B351" t="s">
        <v>201</v>
      </c>
      <c r="C351" s="2">
        <f>HYPERLINK("https://svao.dolgi.msk.ru/account/1760045089/", 1760045089)</f>
        <v>1760045089</v>
      </c>
      <c r="D351">
        <v>3981.05</v>
      </c>
    </row>
    <row r="352" spans="1:4" x14ac:dyDescent="0.25">
      <c r="A352" t="s">
        <v>136</v>
      </c>
      <c r="B352" t="s">
        <v>202</v>
      </c>
      <c r="C352" s="2">
        <f>HYPERLINK("https://svao.dolgi.msk.ru/account/1760045097/", 1760045097)</f>
        <v>1760045097</v>
      </c>
      <c r="D352">
        <v>5553.61</v>
      </c>
    </row>
    <row r="353" spans="1:4" x14ac:dyDescent="0.25">
      <c r="A353" t="s">
        <v>136</v>
      </c>
      <c r="B353" t="s">
        <v>203</v>
      </c>
      <c r="C353" s="2">
        <f>HYPERLINK("https://svao.dolgi.msk.ru/account/1760045126/", 1760045126)</f>
        <v>1760045126</v>
      </c>
      <c r="D353">
        <v>4784.9399999999996</v>
      </c>
    </row>
    <row r="354" spans="1:4" x14ac:dyDescent="0.25">
      <c r="A354" t="s">
        <v>136</v>
      </c>
      <c r="B354" t="s">
        <v>204</v>
      </c>
      <c r="C354" s="2">
        <f>HYPERLINK("https://svao.dolgi.msk.ru/account/1760045142/", 1760045142)</f>
        <v>1760045142</v>
      </c>
      <c r="D354">
        <v>9549.7900000000009</v>
      </c>
    </row>
    <row r="355" spans="1:4" x14ac:dyDescent="0.25">
      <c r="A355" t="s">
        <v>136</v>
      </c>
      <c r="B355" t="s">
        <v>205</v>
      </c>
      <c r="C355" s="2">
        <f>HYPERLINK("https://svao.dolgi.msk.ru/account/1760045214/", 1760045214)</f>
        <v>1760045214</v>
      </c>
      <c r="D355">
        <v>3795.29</v>
      </c>
    </row>
    <row r="356" spans="1:4" x14ac:dyDescent="0.25">
      <c r="A356" t="s">
        <v>136</v>
      </c>
      <c r="B356" t="s">
        <v>206</v>
      </c>
      <c r="C356" s="2">
        <f>HYPERLINK("https://svao.dolgi.msk.ru/account/1760045222/", 1760045222)</f>
        <v>1760045222</v>
      </c>
      <c r="D356">
        <v>3276.81</v>
      </c>
    </row>
    <row r="357" spans="1:4" x14ac:dyDescent="0.25">
      <c r="A357" t="s">
        <v>136</v>
      </c>
      <c r="B357" t="s">
        <v>207</v>
      </c>
      <c r="C357" s="2">
        <f>HYPERLINK("https://svao.dolgi.msk.ru/account/1760045257/", 1760045257)</f>
        <v>1760045257</v>
      </c>
      <c r="D357">
        <v>8348.85</v>
      </c>
    </row>
    <row r="358" spans="1:4" x14ac:dyDescent="0.25">
      <c r="A358" t="s">
        <v>136</v>
      </c>
      <c r="B358" t="s">
        <v>208</v>
      </c>
      <c r="C358" s="2">
        <f>HYPERLINK("https://svao.dolgi.msk.ru/account/1760045353/", 1760045353)</f>
        <v>1760045353</v>
      </c>
      <c r="D358">
        <v>1895.29</v>
      </c>
    </row>
    <row r="359" spans="1:4" x14ac:dyDescent="0.25">
      <c r="A359" t="s">
        <v>136</v>
      </c>
      <c r="B359" t="s">
        <v>208</v>
      </c>
      <c r="C359" s="2">
        <f>HYPERLINK("https://svao.dolgi.msk.ru/account/1760045388/", 1760045388)</f>
        <v>1760045388</v>
      </c>
      <c r="D359">
        <v>1057.7</v>
      </c>
    </row>
    <row r="360" spans="1:4" x14ac:dyDescent="0.25">
      <c r="A360" t="s">
        <v>136</v>
      </c>
      <c r="B360" t="s">
        <v>208</v>
      </c>
      <c r="C360" s="2">
        <f>HYPERLINK("https://svao.dolgi.msk.ru/account/1761795519/", 1761795519)</f>
        <v>1761795519</v>
      </c>
      <c r="D360">
        <v>2540.89</v>
      </c>
    </row>
    <row r="361" spans="1:4" x14ac:dyDescent="0.25">
      <c r="A361" t="s">
        <v>136</v>
      </c>
      <c r="B361" t="s">
        <v>209</v>
      </c>
      <c r="C361" s="2">
        <f>HYPERLINK("https://svao.dolgi.msk.ru/account/1760045396/", 1760045396)</f>
        <v>1760045396</v>
      </c>
      <c r="D361">
        <v>37749.81</v>
      </c>
    </row>
    <row r="362" spans="1:4" x14ac:dyDescent="0.25">
      <c r="A362" t="s">
        <v>136</v>
      </c>
      <c r="B362" t="s">
        <v>210</v>
      </c>
      <c r="C362" s="2">
        <f>HYPERLINK("https://svao.dolgi.msk.ru/account/1760045468/", 1760045468)</f>
        <v>1760045468</v>
      </c>
      <c r="D362">
        <v>4916.84</v>
      </c>
    </row>
    <row r="363" spans="1:4" x14ac:dyDescent="0.25">
      <c r="A363" t="s">
        <v>136</v>
      </c>
      <c r="B363" t="s">
        <v>211</v>
      </c>
      <c r="C363" s="2">
        <f>HYPERLINK("https://svao.dolgi.msk.ru/account/1760045505/", 1760045505)</f>
        <v>1760045505</v>
      </c>
      <c r="D363">
        <v>311.69</v>
      </c>
    </row>
    <row r="364" spans="1:4" x14ac:dyDescent="0.25">
      <c r="A364" t="s">
        <v>136</v>
      </c>
      <c r="B364" t="s">
        <v>212</v>
      </c>
      <c r="C364" s="2">
        <f>HYPERLINK("https://svao.dolgi.msk.ru/account/1760045513/", 1760045513)</f>
        <v>1760045513</v>
      </c>
      <c r="D364">
        <v>4573.05</v>
      </c>
    </row>
    <row r="365" spans="1:4" x14ac:dyDescent="0.25">
      <c r="A365" t="s">
        <v>136</v>
      </c>
      <c r="B365" t="s">
        <v>213</v>
      </c>
      <c r="C365" s="2">
        <f>HYPERLINK("https://svao.dolgi.msk.ru/account/1760045601/", 1760045601)</f>
        <v>1760045601</v>
      </c>
      <c r="D365">
        <v>6335.51</v>
      </c>
    </row>
    <row r="366" spans="1:4" x14ac:dyDescent="0.25">
      <c r="A366" t="s">
        <v>136</v>
      </c>
      <c r="B366" t="s">
        <v>214</v>
      </c>
      <c r="C366" s="2">
        <f>HYPERLINK("https://svao.dolgi.msk.ru/account/1760045687/", 1760045687)</f>
        <v>1760045687</v>
      </c>
      <c r="D366">
        <v>9892.84</v>
      </c>
    </row>
    <row r="367" spans="1:4" x14ac:dyDescent="0.25">
      <c r="A367" t="s">
        <v>136</v>
      </c>
      <c r="B367" t="s">
        <v>215</v>
      </c>
      <c r="C367" s="2">
        <f>HYPERLINK("https://svao.dolgi.msk.ru/account/1760045695/", 1760045695)</f>
        <v>1760045695</v>
      </c>
      <c r="D367">
        <v>963653.97</v>
      </c>
    </row>
    <row r="368" spans="1:4" x14ac:dyDescent="0.25">
      <c r="A368" t="s">
        <v>136</v>
      </c>
      <c r="B368" t="s">
        <v>216</v>
      </c>
      <c r="C368" s="2">
        <f>HYPERLINK("https://svao.dolgi.msk.ru/account/1760045759/", 1760045759)</f>
        <v>1760045759</v>
      </c>
      <c r="D368">
        <v>8051.06</v>
      </c>
    </row>
    <row r="369" spans="1:4" x14ac:dyDescent="0.25">
      <c r="A369" t="s">
        <v>136</v>
      </c>
      <c r="B369" t="s">
        <v>217</v>
      </c>
      <c r="C369" s="2">
        <f>HYPERLINK("https://svao.dolgi.msk.ru/account/1760045767/", 1760045767)</f>
        <v>1760045767</v>
      </c>
      <c r="D369">
        <v>5986.79</v>
      </c>
    </row>
    <row r="370" spans="1:4" x14ac:dyDescent="0.25">
      <c r="A370" t="s">
        <v>136</v>
      </c>
      <c r="B370" t="s">
        <v>218</v>
      </c>
      <c r="C370" s="2">
        <f>HYPERLINK("https://svao.dolgi.msk.ru/account/1760045775/", 1760045775)</f>
        <v>1760045775</v>
      </c>
      <c r="D370">
        <v>1092.9100000000001</v>
      </c>
    </row>
    <row r="371" spans="1:4" x14ac:dyDescent="0.25">
      <c r="A371" t="s">
        <v>136</v>
      </c>
      <c r="B371" t="s">
        <v>220</v>
      </c>
      <c r="C371" s="2">
        <f>HYPERLINK("https://svao.dolgi.msk.ru/account/1760045804/", 1760045804)</f>
        <v>1760045804</v>
      </c>
      <c r="D371">
        <v>7205.38</v>
      </c>
    </row>
    <row r="372" spans="1:4" x14ac:dyDescent="0.25">
      <c r="A372" t="s">
        <v>136</v>
      </c>
      <c r="B372" t="s">
        <v>221</v>
      </c>
      <c r="C372" s="2">
        <f>HYPERLINK("https://svao.dolgi.msk.ru/account/1760045855/", 1760045855)</f>
        <v>1760045855</v>
      </c>
      <c r="D372">
        <v>326978.28999999998</v>
      </c>
    </row>
    <row r="373" spans="1:4" x14ac:dyDescent="0.25">
      <c r="A373" t="s">
        <v>136</v>
      </c>
      <c r="B373" t="s">
        <v>222</v>
      </c>
      <c r="C373" s="2">
        <f>HYPERLINK("https://svao.dolgi.msk.ru/account/1760045919/", 1760045919)</f>
        <v>1760045919</v>
      </c>
      <c r="D373">
        <v>1028.4100000000001</v>
      </c>
    </row>
    <row r="374" spans="1:4" x14ac:dyDescent="0.25">
      <c r="A374" t="s">
        <v>136</v>
      </c>
      <c r="B374" t="s">
        <v>223</v>
      </c>
      <c r="C374" s="2">
        <f>HYPERLINK("https://svao.dolgi.msk.ru/account/1760045927/", 1760045927)</f>
        <v>1760045927</v>
      </c>
      <c r="D374">
        <v>8480.42</v>
      </c>
    </row>
    <row r="375" spans="1:4" x14ac:dyDescent="0.25">
      <c r="A375" t="s">
        <v>136</v>
      </c>
      <c r="B375" t="s">
        <v>224</v>
      </c>
      <c r="C375" s="2">
        <f>HYPERLINK("https://svao.dolgi.msk.ru/account/1760046022/", 1760046022)</f>
        <v>1760046022</v>
      </c>
      <c r="D375">
        <v>5621.84</v>
      </c>
    </row>
    <row r="376" spans="1:4" x14ac:dyDescent="0.25">
      <c r="A376" t="s">
        <v>136</v>
      </c>
      <c r="B376" t="s">
        <v>225</v>
      </c>
      <c r="C376" s="2">
        <f>HYPERLINK("https://svao.dolgi.msk.ru/account/1760046081/", 1760046081)</f>
        <v>1760046081</v>
      </c>
      <c r="D376">
        <v>7465.99</v>
      </c>
    </row>
    <row r="377" spans="1:4" x14ac:dyDescent="0.25">
      <c r="A377" t="s">
        <v>136</v>
      </c>
      <c r="B377" t="s">
        <v>226</v>
      </c>
      <c r="C377" s="2">
        <f>HYPERLINK("https://svao.dolgi.msk.ru/account/1760046161/", 1760046161)</f>
        <v>1760046161</v>
      </c>
      <c r="D377">
        <v>8139.45</v>
      </c>
    </row>
    <row r="378" spans="1:4" x14ac:dyDescent="0.25">
      <c r="A378" t="s">
        <v>136</v>
      </c>
      <c r="B378" t="s">
        <v>227</v>
      </c>
      <c r="C378" s="2">
        <f>HYPERLINK("https://svao.dolgi.msk.ru/account/1760046241/", 1760046241)</f>
        <v>1760046241</v>
      </c>
      <c r="D378">
        <v>4257.21</v>
      </c>
    </row>
    <row r="379" spans="1:4" x14ac:dyDescent="0.25">
      <c r="A379" t="s">
        <v>136</v>
      </c>
      <c r="B379" t="s">
        <v>228</v>
      </c>
      <c r="C379" s="2">
        <f>HYPERLINK("https://svao.dolgi.msk.ru/account/1760046268/", 1760046268)</f>
        <v>1760046268</v>
      </c>
      <c r="D379">
        <v>7081.12</v>
      </c>
    </row>
    <row r="380" spans="1:4" x14ac:dyDescent="0.25">
      <c r="A380" t="s">
        <v>136</v>
      </c>
      <c r="B380" t="s">
        <v>229</v>
      </c>
      <c r="C380" s="2">
        <f>HYPERLINK("https://svao.dolgi.msk.ru/account/1760046321/", 1760046321)</f>
        <v>1760046321</v>
      </c>
      <c r="D380">
        <v>2708.36</v>
      </c>
    </row>
    <row r="381" spans="1:4" x14ac:dyDescent="0.25">
      <c r="A381" t="s">
        <v>136</v>
      </c>
      <c r="B381" t="s">
        <v>230</v>
      </c>
      <c r="C381" s="2">
        <f>HYPERLINK("https://svao.dolgi.msk.ru/account/1760046364/", 1760046364)</f>
        <v>1760046364</v>
      </c>
      <c r="D381">
        <v>5133.12</v>
      </c>
    </row>
    <row r="382" spans="1:4" x14ac:dyDescent="0.25">
      <c r="A382" t="s">
        <v>136</v>
      </c>
      <c r="B382" t="s">
        <v>231</v>
      </c>
      <c r="C382" s="2">
        <f>HYPERLINK("https://svao.dolgi.msk.ru/account/1760046444/", 1760046444)</f>
        <v>1760046444</v>
      </c>
      <c r="D382">
        <v>1536.76</v>
      </c>
    </row>
    <row r="383" spans="1:4" x14ac:dyDescent="0.25">
      <c r="A383" t="s">
        <v>136</v>
      </c>
      <c r="B383" t="s">
        <v>232</v>
      </c>
      <c r="C383" s="2">
        <f>HYPERLINK("https://svao.dolgi.msk.ru/account/1760046487/", 1760046487)</f>
        <v>1760046487</v>
      </c>
      <c r="D383">
        <v>4305.8100000000004</v>
      </c>
    </row>
    <row r="384" spans="1:4" x14ac:dyDescent="0.25">
      <c r="A384" t="s">
        <v>136</v>
      </c>
      <c r="B384" t="s">
        <v>233</v>
      </c>
      <c r="C384" s="2">
        <f>HYPERLINK("https://svao.dolgi.msk.ru/account/1760046524/", 1760046524)</f>
        <v>1760046524</v>
      </c>
      <c r="D384">
        <v>4360.7</v>
      </c>
    </row>
    <row r="385" spans="1:4" x14ac:dyDescent="0.25">
      <c r="A385" t="s">
        <v>136</v>
      </c>
      <c r="B385" t="s">
        <v>234</v>
      </c>
      <c r="C385" s="2">
        <f>HYPERLINK("https://svao.dolgi.msk.ru/account/1760046575/", 1760046575)</f>
        <v>1760046575</v>
      </c>
      <c r="D385">
        <v>6864.96</v>
      </c>
    </row>
    <row r="386" spans="1:4" x14ac:dyDescent="0.25">
      <c r="A386" t="s">
        <v>136</v>
      </c>
      <c r="B386" t="s">
        <v>235</v>
      </c>
      <c r="C386" s="2">
        <f>HYPERLINK("https://svao.dolgi.msk.ru/account/1760046591/", 1760046591)</f>
        <v>1760046591</v>
      </c>
      <c r="D386">
        <v>2662.59</v>
      </c>
    </row>
    <row r="387" spans="1:4" x14ac:dyDescent="0.25">
      <c r="A387" t="s">
        <v>136</v>
      </c>
      <c r="B387" t="s">
        <v>236</v>
      </c>
      <c r="C387" s="2">
        <f>HYPERLINK("https://svao.dolgi.msk.ru/account/1760046604/", 1760046604)</f>
        <v>1760046604</v>
      </c>
      <c r="D387">
        <v>12111.65</v>
      </c>
    </row>
    <row r="388" spans="1:4" x14ac:dyDescent="0.25">
      <c r="A388" t="s">
        <v>136</v>
      </c>
      <c r="B388" t="s">
        <v>237</v>
      </c>
      <c r="C388" s="2">
        <f>HYPERLINK("https://svao.dolgi.msk.ru/account/1760046735/", 1760046735)</f>
        <v>1760046735</v>
      </c>
      <c r="D388">
        <v>22663.27</v>
      </c>
    </row>
    <row r="389" spans="1:4" x14ac:dyDescent="0.25">
      <c r="A389" t="s">
        <v>136</v>
      </c>
      <c r="B389" t="s">
        <v>237</v>
      </c>
      <c r="C389" s="2">
        <f>HYPERLINK("https://svao.dolgi.msk.ru/account/1760271115/", 1760271115)</f>
        <v>1760271115</v>
      </c>
      <c r="D389">
        <v>2764.38</v>
      </c>
    </row>
    <row r="390" spans="1:4" x14ac:dyDescent="0.25">
      <c r="A390" t="s">
        <v>136</v>
      </c>
      <c r="B390" t="s">
        <v>238</v>
      </c>
      <c r="C390" s="2">
        <f>HYPERLINK("https://svao.dolgi.msk.ru/account/1760046743/", 1760046743)</f>
        <v>1760046743</v>
      </c>
      <c r="D390">
        <v>5019.24</v>
      </c>
    </row>
    <row r="391" spans="1:4" x14ac:dyDescent="0.25">
      <c r="A391" t="s">
        <v>136</v>
      </c>
      <c r="B391" t="s">
        <v>239</v>
      </c>
      <c r="C391" s="2">
        <f>HYPERLINK("https://svao.dolgi.msk.ru/account/1760046874/", 1760046874)</f>
        <v>1760046874</v>
      </c>
      <c r="D391">
        <v>27727.33</v>
      </c>
    </row>
    <row r="392" spans="1:4" x14ac:dyDescent="0.25">
      <c r="A392" t="s">
        <v>136</v>
      </c>
      <c r="B392" t="s">
        <v>240</v>
      </c>
      <c r="C392" s="2">
        <f>HYPERLINK("https://svao.dolgi.msk.ru/account/1760046882/", 1760046882)</f>
        <v>1760046882</v>
      </c>
      <c r="D392">
        <v>4395.43</v>
      </c>
    </row>
    <row r="393" spans="1:4" x14ac:dyDescent="0.25">
      <c r="A393" t="s">
        <v>241</v>
      </c>
      <c r="B393" t="s">
        <v>5</v>
      </c>
      <c r="C393" s="2">
        <f>HYPERLINK("https://svao.dolgi.msk.ru/account/1760184548/", 1760184548)</f>
        <v>1760184548</v>
      </c>
      <c r="D393">
        <v>7258.3</v>
      </c>
    </row>
    <row r="394" spans="1:4" x14ac:dyDescent="0.25">
      <c r="A394" t="s">
        <v>241</v>
      </c>
      <c r="B394" t="s">
        <v>7</v>
      </c>
      <c r="C394" s="2">
        <f>HYPERLINK("https://svao.dolgi.msk.ru/account/1760184556/", 1760184556)</f>
        <v>1760184556</v>
      </c>
      <c r="D394">
        <v>3675.84</v>
      </c>
    </row>
    <row r="395" spans="1:4" x14ac:dyDescent="0.25">
      <c r="A395" t="s">
        <v>241</v>
      </c>
      <c r="B395" t="s">
        <v>73</v>
      </c>
      <c r="C395" s="2">
        <f>HYPERLINK("https://svao.dolgi.msk.ru/account/1760184628/", 1760184628)</f>
        <v>1760184628</v>
      </c>
      <c r="D395">
        <v>3244.7</v>
      </c>
    </row>
    <row r="396" spans="1:4" x14ac:dyDescent="0.25">
      <c r="A396" t="s">
        <v>241</v>
      </c>
      <c r="B396" t="s">
        <v>74</v>
      </c>
      <c r="C396" s="2">
        <f>HYPERLINK("https://svao.dolgi.msk.ru/account/1760184652/", 1760184652)</f>
        <v>1760184652</v>
      </c>
      <c r="D396">
        <v>395.59</v>
      </c>
    </row>
    <row r="397" spans="1:4" x14ac:dyDescent="0.25">
      <c r="A397" t="s">
        <v>241</v>
      </c>
      <c r="B397" t="s">
        <v>137</v>
      </c>
      <c r="C397" s="2">
        <f>HYPERLINK("https://svao.dolgi.msk.ru/account/1760184679/", 1760184679)</f>
        <v>1760184679</v>
      </c>
      <c r="D397">
        <v>7300.3</v>
      </c>
    </row>
    <row r="398" spans="1:4" x14ac:dyDescent="0.25">
      <c r="A398" t="s">
        <v>241</v>
      </c>
      <c r="B398" t="s">
        <v>75</v>
      </c>
      <c r="C398" s="2">
        <f>HYPERLINK("https://svao.dolgi.msk.ru/account/1760184695/", 1760184695)</f>
        <v>1760184695</v>
      </c>
      <c r="D398">
        <v>3922.96</v>
      </c>
    </row>
    <row r="399" spans="1:4" x14ac:dyDescent="0.25">
      <c r="A399" t="s">
        <v>241</v>
      </c>
      <c r="B399" t="s">
        <v>12</v>
      </c>
      <c r="C399" s="2">
        <f>HYPERLINK("https://svao.dolgi.msk.ru/account/1760190534/", 1760190534)</f>
        <v>1760190534</v>
      </c>
      <c r="D399">
        <v>6836.75</v>
      </c>
    </row>
    <row r="400" spans="1:4" x14ac:dyDescent="0.25">
      <c r="A400" t="s">
        <v>241</v>
      </c>
      <c r="B400" t="s">
        <v>107</v>
      </c>
      <c r="C400" s="2">
        <f>HYPERLINK("https://svao.dolgi.msk.ru/account/1760190585/", 1760190585)</f>
        <v>1760190585</v>
      </c>
      <c r="D400">
        <v>4616.6899999999996</v>
      </c>
    </row>
    <row r="401" spans="1:4" x14ac:dyDescent="0.25">
      <c r="A401" t="s">
        <v>241</v>
      </c>
      <c r="B401" t="s">
        <v>15</v>
      </c>
      <c r="C401" s="2">
        <f>HYPERLINK("https://svao.dolgi.msk.ru/account/1760190593/", 1760190593)</f>
        <v>1760190593</v>
      </c>
      <c r="D401">
        <v>5440.04</v>
      </c>
    </row>
    <row r="402" spans="1:4" x14ac:dyDescent="0.25">
      <c r="A402" t="s">
        <v>241</v>
      </c>
      <c r="B402" t="s">
        <v>108</v>
      </c>
      <c r="C402" s="2">
        <f>HYPERLINK("https://svao.dolgi.msk.ru/account/1760190606/", 1760190606)</f>
        <v>1760190606</v>
      </c>
      <c r="D402">
        <v>12699.31</v>
      </c>
    </row>
    <row r="403" spans="1:4" x14ac:dyDescent="0.25">
      <c r="A403" t="s">
        <v>241</v>
      </c>
      <c r="B403" t="s">
        <v>19</v>
      </c>
      <c r="C403" s="2">
        <f>HYPERLINK("https://svao.dolgi.msk.ru/account/1760184732/", 1760184732)</f>
        <v>1760184732</v>
      </c>
      <c r="D403">
        <v>7823.71</v>
      </c>
    </row>
    <row r="404" spans="1:4" x14ac:dyDescent="0.25">
      <c r="A404" t="s">
        <v>241</v>
      </c>
      <c r="B404" t="s">
        <v>114</v>
      </c>
      <c r="C404" s="2">
        <f>HYPERLINK("https://svao.dolgi.msk.ru/account/1760184898/", 1760184898)</f>
        <v>1760184898</v>
      </c>
      <c r="D404">
        <v>3832.14</v>
      </c>
    </row>
    <row r="405" spans="1:4" x14ac:dyDescent="0.25">
      <c r="A405" t="s">
        <v>241</v>
      </c>
      <c r="B405" t="s">
        <v>79</v>
      </c>
      <c r="C405" s="2">
        <f>HYPERLINK("https://svao.dolgi.msk.ru/account/1760184943/", 1760184943)</f>
        <v>1760184943</v>
      </c>
      <c r="D405">
        <v>19208.169999999998</v>
      </c>
    </row>
    <row r="406" spans="1:4" x14ac:dyDescent="0.25">
      <c r="A406" t="s">
        <v>241</v>
      </c>
      <c r="B406" t="s">
        <v>23</v>
      </c>
      <c r="C406" s="2">
        <f>HYPERLINK("https://svao.dolgi.msk.ru/account/1760184951/", 1760184951)</f>
        <v>1760184951</v>
      </c>
      <c r="D406">
        <v>7791.13</v>
      </c>
    </row>
    <row r="407" spans="1:4" x14ac:dyDescent="0.25">
      <c r="A407" t="s">
        <v>241</v>
      </c>
      <c r="B407" t="s">
        <v>124</v>
      </c>
      <c r="C407" s="2">
        <f>HYPERLINK("https://svao.dolgi.msk.ru/account/1760184978/", 1760184978)</f>
        <v>1760184978</v>
      </c>
      <c r="D407">
        <v>7353.42</v>
      </c>
    </row>
    <row r="408" spans="1:4" x14ac:dyDescent="0.25">
      <c r="A408" t="s">
        <v>241</v>
      </c>
      <c r="B408" t="s">
        <v>115</v>
      </c>
      <c r="C408" s="2">
        <f>HYPERLINK("https://svao.dolgi.msk.ru/account/1760184927/", 1760184927)</f>
        <v>1760184927</v>
      </c>
      <c r="D408">
        <v>1660.46</v>
      </c>
    </row>
    <row r="409" spans="1:4" x14ac:dyDescent="0.25">
      <c r="A409" t="s">
        <v>241</v>
      </c>
      <c r="B409" t="s">
        <v>24</v>
      </c>
      <c r="C409" s="2">
        <f>HYPERLINK("https://svao.dolgi.msk.ru/account/1760185006/", 1760185006)</f>
        <v>1760185006</v>
      </c>
      <c r="D409">
        <v>6692.14</v>
      </c>
    </row>
    <row r="410" spans="1:4" x14ac:dyDescent="0.25">
      <c r="A410" t="s">
        <v>241</v>
      </c>
      <c r="B410" t="s">
        <v>242</v>
      </c>
      <c r="C410" s="2">
        <f>HYPERLINK("https://svao.dolgi.msk.ru/account/1760185022/", 1760185022)</f>
        <v>1760185022</v>
      </c>
      <c r="D410">
        <v>2692.95</v>
      </c>
    </row>
    <row r="411" spans="1:4" x14ac:dyDescent="0.25">
      <c r="A411" t="s">
        <v>241</v>
      </c>
      <c r="B411" t="s">
        <v>125</v>
      </c>
      <c r="C411" s="2">
        <f>HYPERLINK("https://svao.dolgi.msk.ru/account/1760185065/", 1760185065)</f>
        <v>1760185065</v>
      </c>
      <c r="D411">
        <v>11059.3</v>
      </c>
    </row>
    <row r="412" spans="1:4" x14ac:dyDescent="0.25">
      <c r="A412" t="s">
        <v>241</v>
      </c>
      <c r="B412" t="s">
        <v>125</v>
      </c>
      <c r="C412" s="2">
        <f>HYPERLINK("https://svao.dolgi.msk.ru/account/1760253873/", 1760253873)</f>
        <v>1760253873</v>
      </c>
      <c r="D412">
        <v>2511.5100000000002</v>
      </c>
    </row>
    <row r="413" spans="1:4" x14ac:dyDescent="0.25">
      <c r="A413" t="s">
        <v>241</v>
      </c>
      <c r="B413" t="s">
        <v>126</v>
      </c>
      <c r="C413" s="2">
        <f>HYPERLINK("https://svao.dolgi.msk.ru/account/1760185073/", 1760185073)</f>
        <v>1760185073</v>
      </c>
      <c r="D413">
        <v>3159.82</v>
      </c>
    </row>
    <row r="414" spans="1:4" x14ac:dyDescent="0.25">
      <c r="A414" t="s">
        <v>241</v>
      </c>
      <c r="B414" t="s">
        <v>80</v>
      </c>
      <c r="C414" s="2">
        <f>HYPERLINK("https://svao.dolgi.msk.ru/account/1760185081/", 1760185081)</f>
        <v>1760185081</v>
      </c>
      <c r="D414">
        <v>3618.69</v>
      </c>
    </row>
    <row r="415" spans="1:4" x14ac:dyDescent="0.25">
      <c r="A415" t="s">
        <v>241</v>
      </c>
      <c r="B415" t="s">
        <v>127</v>
      </c>
      <c r="C415" s="2">
        <f>HYPERLINK("https://svao.dolgi.msk.ru/account/1760185129/", 1760185129)</f>
        <v>1760185129</v>
      </c>
      <c r="D415">
        <v>4744.78</v>
      </c>
    </row>
    <row r="416" spans="1:4" x14ac:dyDescent="0.25">
      <c r="A416" t="s">
        <v>241</v>
      </c>
      <c r="B416" t="s">
        <v>127</v>
      </c>
      <c r="C416" s="2">
        <f>HYPERLINK("https://svao.dolgi.msk.ru/account/1760270681/", 1760270681)</f>
        <v>1760270681</v>
      </c>
      <c r="D416">
        <v>18588.02</v>
      </c>
    </row>
    <row r="417" spans="1:4" x14ac:dyDescent="0.25">
      <c r="A417" t="s">
        <v>241</v>
      </c>
      <c r="B417" t="s">
        <v>81</v>
      </c>
      <c r="C417" s="2">
        <f>HYPERLINK("https://svao.dolgi.msk.ru/account/1760185137/", 1760185137)</f>
        <v>1760185137</v>
      </c>
      <c r="D417">
        <v>32746.43</v>
      </c>
    </row>
    <row r="418" spans="1:4" x14ac:dyDescent="0.25">
      <c r="A418" t="s">
        <v>241</v>
      </c>
      <c r="B418" t="s">
        <v>120</v>
      </c>
      <c r="C418" s="2">
        <f>HYPERLINK("https://svao.dolgi.msk.ru/account/1760185153/", 1760185153)</f>
        <v>1760185153</v>
      </c>
      <c r="D418">
        <v>4662.8999999999996</v>
      </c>
    </row>
    <row r="419" spans="1:4" x14ac:dyDescent="0.25">
      <c r="A419" t="s">
        <v>241</v>
      </c>
      <c r="B419" t="s">
        <v>26</v>
      </c>
      <c r="C419" s="2">
        <f>HYPERLINK("https://svao.dolgi.msk.ru/account/1760185225/", 1760185225)</f>
        <v>1760185225</v>
      </c>
      <c r="D419">
        <v>19258.57</v>
      </c>
    </row>
    <row r="420" spans="1:4" x14ac:dyDescent="0.25">
      <c r="A420" t="s">
        <v>241</v>
      </c>
      <c r="B420" t="s">
        <v>243</v>
      </c>
      <c r="C420" s="2">
        <f>HYPERLINK("https://svao.dolgi.msk.ru/account/1760185284/", 1760185284)</f>
        <v>1760185284</v>
      </c>
      <c r="D420">
        <v>1688.13</v>
      </c>
    </row>
    <row r="421" spans="1:4" x14ac:dyDescent="0.25">
      <c r="A421" t="s">
        <v>241</v>
      </c>
      <c r="B421" t="s">
        <v>121</v>
      </c>
      <c r="C421" s="2">
        <f>HYPERLINK("https://svao.dolgi.msk.ru/account/1760185292/", 1760185292)</f>
        <v>1760185292</v>
      </c>
      <c r="D421">
        <v>4548.46</v>
      </c>
    </row>
    <row r="422" spans="1:4" x14ac:dyDescent="0.25">
      <c r="A422" t="s">
        <v>241</v>
      </c>
      <c r="B422" t="s">
        <v>134</v>
      </c>
      <c r="C422" s="2">
        <f>HYPERLINK("https://svao.dolgi.msk.ru/account/1760185305/", 1760185305)</f>
        <v>1760185305</v>
      </c>
      <c r="D422">
        <v>13306.96</v>
      </c>
    </row>
    <row r="423" spans="1:4" x14ac:dyDescent="0.25">
      <c r="A423" t="s">
        <v>241</v>
      </c>
      <c r="B423" t="s">
        <v>244</v>
      </c>
      <c r="C423" s="2">
        <f>HYPERLINK("https://svao.dolgi.msk.ru/account/1760185356/", 1760185356)</f>
        <v>1760185356</v>
      </c>
      <c r="D423">
        <v>59785.3</v>
      </c>
    </row>
    <row r="424" spans="1:4" x14ac:dyDescent="0.25">
      <c r="A424" t="s">
        <v>241</v>
      </c>
      <c r="B424" t="s">
        <v>84</v>
      </c>
      <c r="C424" s="2">
        <f>HYPERLINK("https://svao.dolgi.msk.ru/account/1760185401/", 1760185401)</f>
        <v>1760185401</v>
      </c>
      <c r="D424">
        <v>1844.71</v>
      </c>
    </row>
    <row r="425" spans="1:4" x14ac:dyDescent="0.25">
      <c r="A425" t="s">
        <v>241</v>
      </c>
      <c r="B425" t="s">
        <v>245</v>
      </c>
      <c r="C425" s="2">
        <f>HYPERLINK("https://svao.dolgi.msk.ru/account/1760185452/", 1760185452)</f>
        <v>1760185452</v>
      </c>
      <c r="D425">
        <v>2574.0100000000002</v>
      </c>
    </row>
    <row r="426" spans="1:4" x14ac:dyDescent="0.25">
      <c r="A426" t="s">
        <v>241</v>
      </c>
      <c r="B426" t="s">
        <v>99</v>
      </c>
      <c r="C426" s="2">
        <f>HYPERLINK("https://svao.dolgi.msk.ru/account/1760185524/", 1760185524)</f>
        <v>1760185524</v>
      </c>
      <c r="D426">
        <v>251.47</v>
      </c>
    </row>
    <row r="427" spans="1:4" x14ac:dyDescent="0.25">
      <c r="A427" t="s">
        <v>241</v>
      </c>
      <c r="B427" t="s">
        <v>86</v>
      </c>
      <c r="C427" s="2">
        <f>HYPERLINK("https://svao.dolgi.msk.ru/account/1760185559/", 1760185559)</f>
        <v>1760185559</v>
      </c>
      <c r="D427">
        <v>5441.38</v>
      </c>
    </row>
    <row r="428" spans="1:4" x14ac:dyDescent="0.25">
      <c r="A428" t="s">
        <v>241</v>
      </c>
      <c r="B428" t="s">
        <v>87</v>
      </c>
      <c r="C428" s="2">
        <f>HYPERLINK("https://svao.dolgi.msk.ru/account/1760185575/", 1760185575)</f>
        <v>1760185575</v>
      </c>
      <c r="D428">
        <v>3308.36</v>
      </c>
    </row>
    <row r="429" spans="1:4" x14ac:dyDescent="0.25">
      <c r="A429" t="s">
        <v>241</v>
      </c>
      <c r="B429" t="s">
        <v>37</v>
      </c>
      <c r="C429" s="2">
        <f>HYPERLINK("https://svao.dolgi.msk.ru/account/1760185639/", 1760185639)</f>
        <v>1760185639</v>
      </c>
      <c r="D429">
        <v>5993.63</v>
      </c>
    </row>
    <row r="430" spans="1:4" x14ac:dyDescent="0.25">
      <c r="A430" t="s">
        <v>241</v>
      </c>
      <c r="B430" t="s">
        <v>246</v>
      </c>
      <c r="C430" s="2">
        <f>HYPERLINK("https://svao.dolgi.msk.ru/account/1760185655/", 1760185655)</f>
        <v>1760185655</v>
      </c>
      <c r="D430">
        <v>5603.22</v>
      </c>
    </row>
    <row r="431" spans="1:4" x14ac:dyDescent="0.25">
      <c r="A431" t="s">
        <v>241</v>
      </c>
      <c r="B431" t="s">
        <v>142</v>
      </c>
      <c r="C431" s="2">
        <f>HYPERLINK("https://svao.dolgi.msk.ru/account/1760185735/", 1760185735)</f>
        <v>1760185735</v>
      </c>
      <c r="D431">
        <v>6595.37</v>
      </c>
    </row>
    <row r="432" spans="1:4" x14ac:dyDescent="0.25">
      <c r="A432" t="s">
        <v>241</v>
      </c>
      <c r="B432" t="s">
        <v>247</v>
      </c>
      <c r="C432" s="2">
        <f>HYPERLINK("https://svao.dolgi.msk.ru/account/1760185743/", 1760185743)</f>
        <v>1760185743</v>
      </c>
      <c r="D432">
        <v>13002.59</v>
      </c>
    </row>
    <row r="433" spans="1:4" x14ac:dyDescent="0.25">
      <c r="A433" t="s">
        <v>241</v>
      </c>
      <c r="B433" t="s">
        <v>143</v>
      </c>
      <c r="C433" s="2">
        <f>HYPERLINK("https://svao.dolgi.msk.ru/account/1760185778/", 1760185778)</f>
        <v>1760185778</v>
      </c>
      <c r="D433">
        <v>135964.24</v>
      </c>
    </row>
    <row r="434" spans="1:4" x14ac:dyDescent="0.25">
      <c r="A434" t="s">
        <v>241</v>
      </c>
      <c r="B434" t="s">
        <v>45</v>
      </c>
      <c r="C434" s="2">
        <f>HYPERLINK("https://svao.dolgi.msk.ru/account/1760185786/", 1760185786)</f>
        <v>1760185786</v>
      </c>
      <c r="D434">
        <v>8453.19</v>
      </c>
    </row>
    <row r="435" spans="1:4" x14ac:dyDescent="0.25">
      <c r="A435" t="s">
        <v>241</v>
      </c>
      <c r="B435" t="s">
        <v>248</v>
      </c>
      <c r="C435" s="2">
        <f>HYPERLINK("https://svao.dolgi.msk.ru/account/1760185823/", 1760185823)</f>
        <v>1760185823</v>
      </c>
      <c r="D435">
        <v>3446.66</v>
      </c>
    </row>
    <row r="436" spans="1:4" x14ac:dyDescent="0.25">
      <c r="A436" t="s">
        <v>241</v>
      </c>
      <c r="B436" t="s">
        <v>249</v>
      </c>
      <c r="C436" s="2">
        <f>HYPERLINK("https://svao.dolgi.msk.ru/account/1760185866/", 1760185866)</f>
        <v>1760185866</v>
      </c>
      <c r="D436">
        <v>3108.63</v>
      </c>
    </row>
    <row r="437" spans="1:4" x14ac:dyDescent="0.25">
      <c r="A437" t="s">
        <v>241</v>
      </c>
      <c r="B437" t="s">
        <v>250</v>
      </c>
      <c r="C437" s="2">
        <f>HYPERLINK("https://svao.dolgi.msk.ru/account/1760185903/", 1760185903)</f>
        <v>1760185903</v>
      </c>
      <c r="D437">
        <v>2483.34</v>
      </c>
    </row>
    <row r="438" spans="1:4" x14ac:dyDescent="0.25">
      <c r="A438" t="s">
        <v>241</v>
      </c>
      <c r="B438" t="s">
        <v>49</v>
      </c>
      <c r="C438" s="2">
        <f>HYPERLINK("https://svao.dolgi.msk.ru/account/1760185946/", 1760185946)</f>
        <v>1760185946</v>
      </c>
      <c r="D438">
        <v>5087.22</v>
      </c>
    </row>
    <row r="439" spans="1:4" x14ac:dyDescent="0.25">
      <c r="A439" t="s">
        <v>241</v>
      </c>
      <c r="B439" t="s">
        <v>251</v>
      </c>
      <c r="C439" s="2">
        <f>HYPERLINK("https://svao.dolgi.msk.ru/account/1760185989/", 1760185989)</f>
        <v>1760185989</v>
      </c>
      <c r="D439">
        <v>4177.92</v>
      </c>
    </row>
    <row r="440" spans="1:4" x14ac:dyDescent="0.25">
      <c r="A440" t="s">
        <v>241</v>
      </c>
      <c r="B440" t="s">
        <v>252</v>
      </c>
      <c r="C440" s="2">
        <f>HYPERLINK("https://svao.dolgi.msk.ru/account/1760185997/", 1760185997)</f>
        <v>1760185997</v>
      </c>
      <c r="D440">
        <v>3985.73</v>
      </c>
    </row>
    <row r="441" spans="1:4" x14ac:dyDescent="0.25">
      <c r="A441" t="s">
        <v>241</v>
      </c>
      <c r="B441" t="s">
        <v>252</v>
      </c>
      <c r="C441" s="2">
        <f>HYPERLINK("https://svao.dolgi.msk.ru/account/1761790128/", 1761790128)</f>
        <v>1761790128</v>
      </c>
      <c r="D441">
        <v>3996.45</v>
      </c>
    </row>
    <row r="442" spans="1:4" x14ac:dyDescent="0.25">
      <c r="A442" t="s">
        <v>241</v>
      </c>
      <c r="B442" t="s">
        <v>52</v>
      </c>
      <c r="C442" s="2">
        <f>HYPERLINK("https://svao.dolgi.msk.ru/account/1760186068/", 1760186068)</f>
        <v>1760186068</v>
      </c>
      <c r="D442">
        <v>6862.68</v>
      </c>
    </row>
    <row r="443" spans="1:4" x14ac:dyDescent="0.25">
      <c r="A443" t="s">
        <v>241</v>
      </c>
      <c r="B443" t="s">
        <v>148</v>
      </c>
      <c r="C443" s="2">
        <f>HYPERLINK("https://svao.dolgi.msk.ru/account/1760186084/", 1760186084)</f>
        <v>1760186084</v>
      </c>
      <c r="D443">
        <v>7614.95</v>
      </c>
    </row>
    <row r="444" spans="1:4" x14ac:dyDescent="0.25">
      <c r="A444" t="s">
        <v>241</v>
      </c>
      <c r="B444" t="s">
        <v>253</v>
      </c>
      <c r="C444" s="2">
        <f>HYPERLINK("https://svao.dolgi.msk.ru/account/1760186201/", 1760186201)</f>
        <v>1760186201</v>
      </c>
      <c r="D444">
        <v>7118.47</v>
      </c>
    </row>
    <row r="445" spans="1:4" x14ac:dyDescent="0.25">
      <c r="A445" t="s">
        <v>241</v>
      </c>
      <c r="B445" t="s">
        <v>254</v>
      </c>
      <c r="C445" s="2">
        <f>HYPERLINK("https://svao.dolgi.msk.ru/account/1760186279/", 1760186279)</f>
        <v>1760186279</v>
      </c>
      <c r="D445">
        <v>5124.6499999999996</v>
      </c>
    </row>
    <row r="446" spans="1:4" x14ac:dyDescent="0.25">
      <c r="A446" t="s">
        <v>241</v>
      </c>
      <c r="B446" t="s">
        <v>255</v>
      </c>
      <c r="C446" s="2">
        <f>HYPERLINK("https://svao.dolgi.msk.ru/account/1760186295/", 1760186295)</f>
        <v>1760186295</v>
      </c>
      <c r="D446">
        <v>308.13</v>
      </c>
    </row>
    <row r="447" spans="1:4" x14ac:dyDescent="0.25">
      <c r="A447" t="s">
        <v>241</v>
      </c>
      <c r="B447" t="s">
        <v>57</v>
      </c>
      <c r="C447" s="2">
        <f>HYPERLINK("https://svao.dolgi.msk.ru/account/1760186519/", 1760186519)</f>
        <v>1760186519</v>
      </c>
      <c r="D447">
        <v>1687.75</v>
      </c>
    </row>
    <row r="448" spans="1:4" x14ac:dyDescent="0.25">
      <c r="A448" t="s">
        <v>241</v>
      </c>
      <c r="B448" t="s">
        <v>58</v>
      </c>
      <c r="C448" s="2">
        <f>HYPERLINK("https://svao.dolgi.msk.ru/account/1760186527/", 1760186527)</f>
        <v>1760186527</v>
      </c>
      <c r="D448">
        <v>3803.52</v>
      </c>
    </row>
    <row r="449" spans="1:4" x14ac:dyDescent="0.25">
      <c r="A449" t="s">
        <v>241</v>
      </c>
      <c r="B449" t="s">
        <v>59</v>
      </c>
      <c r="C449" s="2">
        <f>HYPERLINK("https://svao.dolgi.msk.ru/account/1760186551/", 1760186551)</f>
        <v>1760186551</v>
      </c>
      <c r="D449">
        <v>29402.77</v>
      </c>
    </row>
    <row r="450" spans="1:4" x14ac:dyDescent="0.25">
      <c r="A450" t="s">
        <v>241</v>
      </c>
      <c r="B450" t="s">
        <v>256</v>
      </c>
      <c r="C450" s="2">
        <f>HYPERLINK("https://svao.dolgi.msk.ru/account/1760186578/", 1760186578)</f>
        <v>1760186578</v>
      </c>
      <c r="D450">
        <v>4676.32</v>
      </c>
    </row>
    <row r="451" spans="1:4" x14ac:dyDescent="0.25">
      <c r="A451" t="s">
        <v>241</v>
      </c>
      <c r="B451" t="s">
        <v>159</v>
      </c>
      <c r="C451" s="2">
        <f>HYPERLINK("https://svao.dolgi.msk.ru/account/1760186658/", 1760186658)</f>
        <v>1760186658</v>
      </c>
      <c r="D451">
        <v>5244.5</v>
      </c>
    </row>
    <row r="452" spans="1:4" x14ac:dyDescent="0.25">
      <c r="A452" t="s">
        <v>241</v>
      </c>
      <c r="B452" t="s">
        <v>257</v>
      </c>
      <c r="C452" s="2">
        <f>HYPERLINK("https://svao.dolgi.msk.ru/account/1760186674/", 1760186674)</f>
        <v>1760186674</v>
      </c>
      <c r="D452">
        <v>8194.07</v>
      </c>
    </row>
    <row r="453" spans="1:4" x14ac:dyDescent="0.25">
      <c r="A453" t="s">
        <v>241</v>
      </c>
      <c r="B453" t="s">
        <v>160</v>
      </c>
      <c r="C453" s="2">
        <f>HYPERLINK("https://svao.dolgi.msk.ru/account/1761795252/", 1761795252)</f>
        <v>1761795252</v>
      </c>
      <c r="D453">
        <v>26509.23</v>
      </c>
    </row>
    <row r="454" spans="1:4" x14ac:dyDescent="0.25">
      <c r="A454" t="s">
        <v>241</v>
      </c>
      <c r="B454" t="s">
        <v>67</v>
      </c>
      <c r="C454" s="2">
        <f>HYPERLINK("https://svao.dolgi.msk.ru/account/1760186818/", 1760186818)</f>
        <v>1760186818</v>
      </c>
      <c r="D454">
        <v>5778.92</v>
      </c>
    </row>
    <row r="455" spans="1:4" x14ac:dyDescent="0.25">
      <c r="A455" t="s">
        <v>241</v>
      </c>
      <c r="B455" t="s">
        <v>258</v>
      </c>
      <c r="C455" s="2">
        <f>HYPERLINK("https://svao.dolgi.msk.ru/account/1760186869/", 1760186869)</f>
        <v>1760186869</v>
      </c>
      <c r="D455">
        <v>4435.08</v>
      </c>
    </row>
    <row r="456" spans="1:4" x14ac:dyDescent="0.25">
      <c r="A456" t="s">
        <v>241</v>
      </c>
      <c r="B456" t="s">
        <v>259</v>
      </c>
      <c r="C456" s="2">
        <f>HYPERLINK("https://svao.dolgi.msk.ru/account/1760186914/", 1760186914)</f>
        <v>1760186914</v>
      </c>
      <c r="D456">
        <v>2843.08</v>
      </c>
    </row>
    <row r="457" spans="1:4" x14ac:dyDescent="0.25">
      <c r="A457" t="s">
        <v>241</v>
      </c>
      <c r="B457" t="s">
        <v>260</v>
      </c>
      <c r="C457" s="2">
        <f>HYPERLINK("https://svao.dolgi.msk.ru/account/1760186957/", 1760186957)</f>
        <v>1760186957</v>
      </c>
      <c r="D457">
        <v>4364.7299999999996</v>
      </c>
    </row>
    <row r="458" spans="1:4" x14ac:dyDescent="0.25">
      <c r="A458" t="s">
        <v>241</v>
      </c>
      <c r="B458" t="s">
        <v>261</v>
      </c>
      <c r="C458" s="2">
        <f>HYPERLINK("https://svao.dolgi.msk.ru/account/1760187028/", 1760187028)</f>
        <v>1760187028</v>
      </c>
      <c r="D458">
        <v>6150.11</v>
      </c>
    </row>
    <row r="459" spans="1:4" x14ac:dyDescent="0.25">
      <c r="A459" t="s">
        <v>241</v>
      </c>
      <c r="B459" t="s">
        <v>262</v>
      </c>
      <c r="C459" s="2">
        <f>HYPERLINK("https://svao.dolgi.msk.ru/account/1760187036/", 1760187036)</f>
        <v>1760187036</v>
      </c>
      <c r="D459">
        <v>15653.21</v>
      </c>
    </row>
    <row r="460" spans="1:4" x14ac:dyDescent="0.25">
      <c r="A460" t="s">
        <v>241</v>
      </c>
      <c r="B460" t="s">
        <v>263</v>
      </c>
      <c r="C460" s="2">
        <f>HYPERLINK("https://svao.dolgi.msk.ru/account/1760187183/", 1760187183)</f>
        <v>1760187183</v>
      </c>
      <c r="D460">
        <v>5427.13</v>
      </c>
    </row>
    <row r="461" spans="1:4" x14ac:dyDescent="0.25">
      <c r="A461" t="s">
        <v>241</v>
      </c>
      <c r="B461" t="s">
        <v>264</v>
      </c>
      <c r="C461" s="2">
        <f>HYPERLINK("https://svao.dolgi.msk.ru/account/1760187191/", 1760187191)</f>
        <v>1760187191</v>
      </c>
      <c r="D461">
        <v>8484.5300000000007</v>
      </c>
    </row>
    <row r="462" spans="1:4" x14ac:dyDescent="0.25">
      <c r="A462" t="s">
        <v>241</v>
      </c>
      <c r="B462" t="s">
        <v>171</v>
      </c>
      <c r="C462" s="2">
        <f>HYPERLINK("https://svao.dolgi.msk.ru/account/1760187212/", 1760187212)</f>
        <v>1760187212</v>
      </c>
      <c r="D462">
        <v>4224.6400000000003</v>
      </c>
    </row>
    <row r="463" spans="1:4" x14ac:dyDescent="0.25">
      <c r="A463" t="s">
        <v>241</v>
      </c>
      <c r="B463" t="s">
        <v>265</v>
      </c>
      <c r="C463" s="2">
        <f>HYPERLINK("https://svao.dolgi.msk.ru/account/1760187247/", 1760187247)</f>
        <v>1760187247</v>
      </c>
      <c r="D463">
        <v>5989.53</v>
      </c>
    </row>
    <row r="464" spans="1:4" x14ac:dyDescent="0.25">
      <c r="A464" t="s">
        <v>241</v>
      </c>
      <c r="B464" t="s">
        <v>266</v>
      </c>
      <c r="C464" s="2">
        <f>HYPERLINK("https://svao.dolgi.msk.ru/account/1760187298/", 1760187298)</f>
        <v>1760187298</v>
      </c>
      <c r="D464">
        <v>5474.95</v>
      </c>
    </row>
    <row r="465" spans="1:4" x14ac:dyDescent="0.25">
      <c r="A465" t="s">
        <v>241</v>
      </c>
      <c r="B465" t="s">
        <v>267</v>
      </c>
      <c r="C465" s="2">
        <f>HYPERLINK("https://svao.dolgi.msk.ru/account/1760187423/", 1760187423)</f>
        <v>1760187423</v>
      </c>
      <c r="D465">
        <v>6366.03</v>
      </c>
    </row>
    <row r="466" spans="1:4" x14ac:dyDescent="0.25">
      <c r="A466" t="s">
        <v>241</v>
      </c>
      <c r="B466" t="s">
        <v>268</v>
      </c>
      <c r="C466" s="2">
        <f>HYPERLINK("https://svao.dolgi.msk.ru/account/1760187458/", 1760187458)</f>
        <v>1760187458</v>
      </c>
      <c r="D466">
        <v>24742.95</v>
      </c>
    </row>
    <row r="467" spans="1:4" x14ac:dyDescent="0.25">
      <c r="A467" t="s">
        <v>241</v>
      </c>
      <c r="B467" t="s">
        <v>175</v>
      </c>
      <c r="C467" s="2">
        <f>HYPERLINK("https://svao.dolgi.msk.ru/account/1760187466/", 1760187466)</f>
        <v>1760187466</v>
      </c>
      <c r="D467">
        <v>4316.6499999999996</v>
      </c>
    </row>
    <row r="468" spans="1:4" x14ac:dyDescent="0.25">
      <c r="A468" t="s">
        <v>241</v>
      </c>
      <c r="B468" t="s">
        <v>269</v>
      </c>
      <c r="C468" s="2">
        <f>HYPERLINK("https://svao.dolgi.msk.ru/account/1760187554/", 1760187554)</f>
        <v>1760187554</v>
      </c>
      <c r="D468">
        <v>2064.6799999999998</v>
      </c>
    </row>
    <row r="469" spans="1:4" x14ac:dyDescent="0.25">
      <c r="A469" t="s">
        <v>241</v>
      </c>
      <c r="B469" t="s">
        <v>270</v>
      </c>
      <c r="C469" s="2">
        <f>HYPERLINK("https://svao.dolgi.msk.ru/account/1760187562/", 1760187562)</f>
        <v>1760187562</v>
      </c>
      <c r="D469">
        <v>19739.259999999998</v>
      </c>
    </row>
    <row r="470" spans="1:4" x14ac:dyDescent="0.25">
      <c r="A470" t="s">
        <v>241</v>
      </c>
      <c r="B470" t="s">
        <v>271</v>
      </c>
      <c r="C470" s="2">
        <f>HYPERLINK("https://svao.dolgi.msk.ru/account/1760187589/", 1760187589)</f>
        <v>1760187589</v>
      </c>
      <c r="D470">
        <v>7904.52</v>
      </c>
    </row>
    <row r="471" spans="1:4" x14ac:dyDescent="0.25">
      <c r="A471" t="s">
        <v>241</v>
      </c>
      <c r="B471" t="s">
        <v>272</v>
      </c>
      <c r="C471" s="2">
        <f>HYPERLINK("https://svao.dolgi.msk.ru/account/1760187597/", 1760187597)</f>
        <v>1760187597</v>
      </c>
      <c r="D471">
        <v>20116.37</v>
      </c>
    </row>
    <row r="472" spans="1:4" x14ac:dyDescent="0.25">
      <c r="A472" t="s">
        <v>241</v>
      </c>
      <c r="B472" t="s">
        <v>179</v>
      </c>
      <c r="C472" s="2">
        <f>HYPERLINK("https://svao.dolgi.msk.ru/account/1760187626/", 1760187626)</f>
        <v>1760187626</v>
      </c>
      <c r="D472">
        <v>3029.45</v>
      </c>
    </row>
    <row r="473" spans="1:4" x14ac:dyDescent="0.25">
      <c r="A473" t="s">
        <v>241</v>
      </c>
      <c r="B473" t="s">
        <v>180</v>
      </c>
      <c r="C473" s="2">
        <f>HYPERLINK("https://svao.dolgi.msk.ru/account/1760187634/", 1760187634)</f>
        <v>1760187634</v>
      </c>
      <c r="D473">
        <v>3027.03</v>
      </c>
    </row>
    <row r="474" spans="1:4" x14ac:dyDescent="0.25">
      <c r="A474" t="s">
        <v>241</v>
      </c>
      <c r="B474" t="s">
        <v>273</v>
      </c>
      <c r="C474" s="2">
        <f>HYPERLINK("https://svao.dolgi.msk.ru/account/1760187669/", 1760187669)</f>
        <v>1760187669</v>
      </c>
      <c r="D474">
        <v>25243.42</v>
      </c>
    </row>
    <row r="475" spans="1:4" x14ac:dyDescent="0.25">
      <c r="A475" t="s">
        <v>241</v>
      </c>
      <c r="B475" t="s">
        <v>274</v>
      </c>
      <c r="C475" s="2">
        <f>HYPERLINK("https://svao.dolgi.msk.ru/account/1760187677/", 1760187677)</f>
        <v>1760187677</v>
      </c>
      <c r="D475">
        <v>3286.41</v>
      </c>
    </row>
    <row r="476" spans="1:4" x14ac:dyDescent="0.25">
      <c r="A476" t="s">
        <v>241</v>
      </c>
      <c r="B476" t="s">
        <v>275</v>
      </c>
      <c r="C476" s="2">
        <f>HYPERLINK("https://svao.dolgi.msk.ru/account/1760187722/", 1760187722)</f>
        <v>1760187722</v>
      </c>
      <c r="D476">
        <v>612.24</v>
      </c>
    </row>
    <row r="477" spans="1:4" x14ac:dyDescent="0.25">
      <c r="A477" t="s">
        <v>241</v>
      </c>
      <c r="B477" t="s">
        <v>276</v>
      </c>
      <c r="C477" s="2">
        <f>HYPERLINK("https://svao.dolgi.msk.ru/account/1760187837/", 1760187837)</f>
        <v>1760187837</v>
      </c>
      <c r="D477">
        <v>5287.55</v>
      </c>
    </row>
    <row r="478" spans="1:4" x14ac:dyDescent="0.25">
      <c r="A478" t="s">
        <v>241</v>
      </c>
      <c r="B478" t="s">
        <v>277</v>
      </c>
      <c r="C478" s="2">
        <f>HYPERLINK("https://svao.dolgi.msk.ru/account/1760187845/", 1760187845)</f>
        <v>1760187845</v>
      </c>
      <c r="D478">
        <v>4938.21</v>
      </c>
    </row>
    <row r="479" spans="1:4" x14ac:dyDescent="0.25">
      <c r="A479" t="s">
        <v>241</v>
      </c>
      <c r="B479" t="s">
        <v>278</v>
      </c>
      <c r="C479" s="2">
        <f>HYPERLINK("https://svao.dolgi.msk.ru/account/1760187853/", 1760187853)</f>
        <v>1760187853</v>
      </c>
      <c r="D479">
        <v>29573.439999999999</v>
      </c>
    </row>
    <row r="480" spans="1:4" x14ac:dyDescent="0.25">
      <c r="A480" t="s">
        <v>241</v>
      </c>
      <c r="B480" t="s">
        <v>187</v>
      </c>
      <c r="C480" s="2">
        <f>HYPERLINK("https://svao.dolgi.msk.ru/account/1760187976/", 1760187976)</f>
        <v>1760187976</v>
      </c>
      <c r="D480">
        <v>4350.01</v>
      </c>
    </row>
    <row r="481" spans="1:4" x14ac:dyDescent="0.25">
      <c r="A481" t="s">
        <v>241</v>
      </c>
      <c r="B481" t="s">
        <v>188</v>
      </c>
      <c r="C481" s="2">
        <f>HYPERLINK("https://svao.dolgi.msk.ru/account/1760187984/", 1760187984)</f>
        <v>1760187984</v>
      </c>
      <c r="D481">
        <v>1166.4000000000001</v>
      </c>
    </row>
    <row r="482" spans="1:4" x14ac:dyDescent="0.25">
      <c r="A482" t="s">
        <v>241</v>
      </c>
      <c r="B482" t="s">
        <v>279</v>
      </c>
      <c r="C482" s="2">
        <f>HYPERLINK("https://svao.dolgi.msk.ru/account/1760187992/", 1760187992)</f>
        <v>1760187992</v>
      </c>
      <c r="D482">
        <v>3738.4</v>
      </c>
    </row>
    <row r="483" spans="1:4" x14ac:dyDescent="0.25">
      <c r="A483" t="s">
        <v>241</v>
      </c>
      <c r="B483" t="s">
        <v>191</v>
      </c>
      <c r="C483" s="2">
        <f>HYPERLINK("https://svao.dolgi.msk.ru/account/1760188055/", 1760188055)</f>
        <v>1760188055</v>
      </c>
      <c r="D483">
        <v>6535.96</v>
      </c>
    </row>
    <row r="484" spans="1:4" x14ac:dyDescent="0.25">
      <c r="A484" t="s">
        <v>241</v>
      </c>
      <c r="B484" t="s">
        <v>192</v>
      </c>
      <c r="C484" s="2">
        <f>HYPERLINK("https://svao.dolgi.msk.ru/account/1760188063/", 1760188063)</f>
        <v>1760188063</v>
      </c>
      <c r="D484">
        <v>5768.93</v>
      </c>
    </row>
    <row r="485" spans="1:4" x14ac:dyDescent="0.25">
      <c r="A485" t="s">
        <v>241</v>
      </c>
      <c r="B485" t="s">
        <v>280</v>
      </c>
      <c r="C485" s="2">
        <f>HYPERLINK("https://svao.dolgi.msk.ru/account/1760188127/", 1760188127)</f>
        <v>1760188127</v>
      </c>
      <c r="D485">
        <v>2593.4899999999998</v>
      </c>
    </row>
    <row r="486" spans="1:4" x14ac:dyDescent="0.25">
      <c r="A486" t="s">
        <v>241</v>
      </c>
      <c r="B486" t="s">
        <v>281</v>
      </c>
      <c r="C486" s="2">
        <f>HYPERLINK("https://svao.dolgi.msk.ru/account/1760188143/", 1760188143)</f>
        <v>1760188143</v>
      </c>
      <c r="D486">
        <v>4027.13</v>
      </c>
    </row>
    <row r="487" spans="1:4" x14ac:dyDescent="0.25">
      <c r="A487" t="s">
        <v>241</v>
      </c>
      <c r="B487" t="s">
        <v>282</v>
      </c>
      <c r="C487" s="2">
        <f>HYPERLINK("https://svao.dolgi.msk.ru/account/1760188215/", 1760188215)</f>
        <v>1760188215</v>
      </c>
      <c r="D487">
        <v>3646.32</v>
      </c>
    </row>
    <row r="488" spans="1:4" x14ac:dyDescent="0.25">
      <c r="A488" t="s">
        <v>241</v>
      </c>
      <c r="B488" t="s">
        <v>283</v>
      </c>
      <c r="C488" s="2">
        <f>HYPERLINK("https://svao.dolgi.msk.ru/account/1760188231/", 1760188231)</f>
        <v>1760188231</v>
      </c>
      <c r="D488">
        <v>1724.87</v>
      </c>
    </row>
    <row r="489" spans="1:4" x14ac:dyDescent="0.25">
      <c r="A489" t="s">
        <v>241</v>
      </c>
      <c r="B489" t="s">
        <v>197</v>
      </c>
      <c r="C489" s="2">
        <f>HYPERLINK("https://svao.dolgi.msk.ru/account/1760188346/", 1760188346)</f>
        <v>1760188346</v>
      </c>
      <c r="D489">
        <v>2020.9</v>
      </c>
    </row>
    <row r="490" spans="1:4" x14ac:dyDescent="0.25">
      <c r="A490" t="s">
        <v>241</v>
      </c>
      <c r="B490" t="s">
        <v>284</v>
      </c>
      <c r="C490" s="2">
        <f>HYPERLINK("https://svao.dolgi.msk.ru/account/1760188514/", 1760188514)</f>
        <v>1760188514</v>
      </c>
      <c r="D490">
        <v>7610.03</v>
      </c>
    </row>
    <row r="491" spans="1:4" x14ac:dyDescent="0.25">
      <c r="A491" t="s">
        <v>241</v>
      </c>
      <c r="B491" t="s">
        <v>205</v>
      </c>
      <c r="C491" s="2">
        <f>HYPERLINK("https://svao.dolgi.msk.ru/account/1760188522/", 1760188522)</f>
        <v>1760188522</v>
      </c>
      <c r="D491">
        <v>6705.86</v>
      </c>
    </row>
    <row r="492" spans="1:4" x14ac:dyDescent="0.25">
      <c r="A492" t="s">
        <v>241</v>
      </c>
      <c r="B492" t="s">
        <v>285</v>
      </c>
      <c r="C492" s="2">
        <f>HYPERLINK("https://svao.dolgi.msk.ru/account/1760188573/", 1760188573)</f>
        <v>1760188573</v>
      </c>
      <c r="D492">
        <v>5779.66</v>
      </c>
    </row>
    <row r="493" spans="1:4" x14ac:dyDescent="0.25">
      <c r="A493" t="s">
        <v>241</v>
      </c>
      <c r="B493" t="s">
        <v>286</v>
      </c>
      <c r="C493" s="2">
        <f>HYPERLINK("https://svao.dolgi.msk.ru/account/1760188581/", 1760188581)</f>
        <v>1760188581</v>
      </c>
      <c r="D493">
        <v>2376.21</v>
      </c>
    </row>
    <row r="494" spans="1:4" x14ac:dyDescent="0.25">
      <c r="A494" t="s">
        <v>241</v>
      </c>
      <c r="B494" t="s">
        <v>287</v>
      </c>
      <c r="C494" s="2">
        <f>HYPERLINK("https://svao.dolgi.msk.ru/account/1760188645/", 1760188645)</f>
        <v>1760188645</v>
      </c>
      <c r="D494">
        <v>3721.2</v>
      </c>
    </row>
    <row r="495" spans="1:4" x14ac:dyDescent="0.25">
      <c r="A495" t="s">
        <v>241</v>
      </c>
      <c r="B495" t="s">
        <v>288</v>
      </c>
      <c r="C495" s="2">
        <f>HYPERLINK("https://svao.dolgi.msk.ru/account/1760188725/", 1760188725)</f>
        <v>1760188725</v>
      </c>
      <c r="D495">
        <v>4889.8500000000004</v>
      </c>
    </row>
    <row r="496" spans="1:4" x14ac:dyDescent="0.25">
      <c r="A496" t="s">
        <v>289</v>
      </c>
      <c r="B496" t="s">
        <v>6</v>
      </c>
      <c r="C496" s="2">
        <f>HYPERLINK("https://svao.dolgi.msk.ru/account/1760177962/", 1760177962)</f>
        <v>1760177962</v>
      </c>
      <c r="D496">
        <v>2441.9499999999998</v>
      </c>
    </row>
    <row r="497" spans="1:4" x14ac:dyDescent="0.25">
      <c r="A497" t="s">
        <v>289</v>
      </c>
      <c r="B497" t="s">
        <v>41</v>
      </c>
      <c r="C497" s="2">
        <f>HYPERLINK("https://svao.dolgi.msk.ru/account/1760177989/", 1760177989)</f>
        <v>1760177989</v>
      </c>
      <c r="D497">
        <v>3465.32</v>
      </c>
    </row>
    <row r="498" spans="1:4" x14ac:dyDescent="0.25">
      <c r="A498" t="s">
        <v>289</v>
      </c>
      <c r="B498" t="s">
        <v>101</v>
      </c>
      <c r="C498" s="2">
        <f>HYPERLINK("https://svao.dolgi.msk.ru/account/1760178017/", 1760178017)</f>
        <v>1760178017</v>
      </c>
      <c r="D498">
        <v>1779.47</v>
      </c>
    </row>
    <row r="499" spans="1:4" x14ac:dyDescent="0.25">
      <c r="A499" t="s">
        <v>289</v>
      </c>
      <c r="B499" t="s">
        <v>141</v>
      </c>
      <c r="C499" s="2">
        <f>HYPERLINK("https://svao.dolgi.msk.ru/account/1760178025/", 1760178025)</f>
        <v>1760178025</v>
      </c>
      <c r="D499">
        <v>3627.2</v>
      </c>
    </row>
    <row r="500" spans="1:4" x14ac:dyDescent="0.25">
      <c r="A500" t="s">
        <v>289</v>
      </c>
      <c r="B500" t="s">
        <v>75</v>
      </c>
      <c r="C500" s="2">
        <f>HYPERLINK("https://svao.dolgi.msk.ru/account/1760178121/", 1760178121)</f>
        <v>1760178121</v>
      </c>
      <c r="D500">
        <v>4485.58</v>
      </c>
    </row>
    <row r="501" spans="1:4" x14ac:dyDescent="0.25">
      <c r="A501" t="s">
        <v>289</v>
      </c>
      <c r="B501" t="s">
        <v>91</v>
      </c>
      <c r="C501" s="2">
        <f>HYPERLINK("https://svao.dolgi.msk.ru/account/1760178148/", 1760178148)</f>
        <v>1760178148</v>
      </c>
      <c r="D501">
        <v>2527.56</v>
      </c>
    </row>
    <row r="502" spans="1:4" x14ac:dyDescent="0.25">
      <c r="A502" t="s">
        <v>289</v>
      </c>
      <c r="B502" t="s">
        <v>10</v>
      </c>
      <c r="C502" s="2">
        <f>HYPERLINK("https://svao.dolgi.msk.ru/account/1760178156/", 1760178156)</f>
        <v>1760178156</v>
      </c>
      <c r="D502">
        <v>3376.94</v>
      </c>
    </row>
    <row r="503" spans="1:4" x14ac:dyDescent="0.25">
      <c r="A503" t="s">
        <v>289</v>
      </c>
      <c r="B503" t="s">
        <v>219</v>
      </c>
      <c r="C503" s="2">
        <f>HYPERLINK("https://svao.dolgi.msk.ru/account/1760178164/", 1760178164)</f>
        <v>1760178164</v>
      </c>
      <c r="D503">
        <v>75961.990000000005</v>
      </c>
    </row>
    <row r="504" spans="1:4" x14ac:dyDescent="0.25">
      <c r="A504" t="s">
        <v>289</v>
      </c>
      <c r="B504" t="s">
        <v>11</v>
      </c>
      <c r="C504" s="2">
        <f>HYPERLINK("https://svao.dolgi.msk.ru/account/1760178172/", 1760178172)</f>
        <v>1760178172</v>
      </c>
      <c r="D504">
        <v>20525.419999999998</v>
      </c>
    </row>
    <row r="505" spans="1:4" x14ac:dyDescent="0.25">
      <c r="A505" t="s">
        <v>289</v>
      </c>
      <c r="B505" t="s">
        <v>13</v>
      </c>
      <c r="C505" s="2">
        <f>HYPERLINK("https://svao.dolgi.msk.ru/account/1760178201/", 1760178201)</f>
        <v>1760178201</v>
      </c>
      <c r="D505">
        <v>7762.14</v>
      </c>
    </row>
    <row r="506" spans="1:4" x14ac:dyDescent="0.25">
      <c r="A506" t="s">
        <v>289</v>
      </c>
      <c r="B506" t="s">
        <v>106</v>
      </c>
      <c r="C506" s="2">
        <f>HYPERLINK("https://svao.dolgi.msk.ru/account/1760178236/", 1760178236)</f>
        <v>1760178236</v>
      </c>
      <c r="D506">
        <v>5640.32</v>
      </c>
    </row>
    <row r="507" spans="1:4" x14ac:dyDescent="0.25">
      <c r="A507" t="s">
        <v>289</v>
      </c>
      <c r="B507" t="s">
        <v>20</v>
      </c>
      <c r="C507" s="2">
        <f>HYPERLINK("https://svao.dolgi.msk.ru/account/1760178359/", 1760178359)</f>
        <v>1760178359</v>
      </c>
      <c r="D507">
        <v>35472.9</v>
      </c>
    </row>
    <row r="508" spans="1:4" x14ac:dyDescent="0.25">
      <c r="A508" t="s">
        <v>289</v>
      </c>
      <c r="B508" t="s">
        <v>20</v>
      </c>
      <c r="C508" s="2">
        <f>HYPERLINK("https://svao.dolgi.msk.ru/account/1761819963/", 1761819963)</f>
        <v>1761819963</v>
      </c>
      <c r="D508">
        <v>41812.9</v>
      </c>
    </row>
    <row r="509" spans="1:4" x14ac:dyDescent="0.25">
      <c r="A509" t="s">
        <v>289</v>
      </c>
      <c r="B509" t="s">
        <v>20</v>
      </c>
      <c r="C509" s="2">
        <f>HYPERLINK("https://svao.dolgi.msk.ru/account/1761819971/", 1761819971)</f>
        <v>1761819971</v>
      </c>
      <c r="D509">
        <v>41812.9</v>
      </c>
    </row>
    <row r="510" spans="1:4" x14ac:dyDescent="0.25">
      <c r="A510" t="s">
        <v>289</v>
      </c>
      <c r="B510" t="s">
        <v>20</v>
      </c>
      <c r="C510" s="2">
        <f>HYPERLINK("https://svao.dolgi.msk.ru/account/1761819998/", 1761819998)</f>
        <v>1761819998</v>
      </c>
      <c r="D510">
        <v>41812.89</v>
      </c>
    </row>
    <row r="511" spans="1:4" x14ac:dyDescent="0.25">
      <c r="A511" t="s">
        <v>289</v>
      </c>
      <c r="B511" t="s">
        <v>20</v>
      </c>
      <c r="C511" s="2">
        <f>HYPERLINK("https://svao.dolgi.msk.ru/account/1761820008/", 1761820008)</f>
        <v>1761820008</v>
      </c>
      <c r="D511">
        <v>41812.89</v>
      </c>
    </row>
    <row r="512" spans="1:4" x14ac:dyDescent="0.25">
      <c r="A512" t="s">
        <v>289</v>
      </c>
      <c r="B512" t="s">
        <v>93</v>
      </c>
      <c r="C512" s="2">
        <f>HYPERLINK("https://svao.dolgi.msk.ru/account/1760178383/", 1760178383)</f>
        <v>1760178383</v>
      </c>
      <c r="D512">
        <v>4476.22</v>
      </c>
    </row>
    <row r="513" spans="1:4" x14ac:dyDescent="0.25">
      <c r="A513" t="s">
        <v>289</v>
      </c>
      <c r="B513" t="s">
        <v>77</v>
      </c>
      <c r="C513" s="2">
        <f>HYPERLINK("https://svao.dolgi.msk.ru/account/1760178455/", 1760178455)</f>
        <v>1760178455</v>
      </c>
      <c r="D513">
        <v>3060.01</v>
      </c>
    </row>
    <row r="514" spans="1:4" x14ac:dyDescent="0.25">
      <c r="A514" t="s">
        <v>289</v>
      </c>
      <c r="B514" t="s">
        <v>124</v>
      </c>
      <c r="C514" s="2">
        <f>HYPERLINK("https://svao.dolgi.msk.ru/account/1760178535/", 1760178535)</f>
        <v>1760178535</v>
      </c>
      <c r="D514">
        <v>4943.41</v>
      </c>
    </row>
    <row r="515" spans="1:4" x14ac:dyDescent="0.25">
      <c r="A515" t="s">
        <v>289</v>
      </c>
      <c r="B515" t="s">
        <v>117</v>
      </c>
      <c r="C515" s="2">
        <f>HYPERLINK("https://svao.dolgi.msk.ru/account/1760178543/", 1760178543)</f>
        <v>1760178543</v>
      </c>
      <c r="D515">
        <v>2404.4699999999998</v>
      </c>
    </row>
    <row r="516" spans="1:4" x14ac:dyDescent="0.25">
      <c r="A516" t="s">
        <v>289</v>
      </c>
      <c r="B516" t="s">
        <v>242</v>
      </c>
      <c r="C516" s="2">
        <f>HYPERLINK("https://svao.dolgi.msk.ru/account/1760178607/", 1760178607)</f>
        <v>1760178607</v>
      </c>
      <c r="D516">
        <v>296715.09000000003</v>
      </c>
    </row>
    <row r="517" spans="1:4" x14ac:dyDescent="0.25">
      <c r="A517" t="s">
        <v>289</v>
      </c>
      <c r="B517" t="s">
        <v>126</v>
      </c>
      <c r="C517" s="2">
        <f>HYPERLINK("https://svao.dolgi.msk.ru/account/1760178658/", 1760178658)</f>
        <v>1760178658</v>
      </c>
      <c r="D517">
        <v>4415.29</v>
      </c>
    </row>
    <row r="518" spans="1:4" x14ac:dyDescent="0.25">
      <c r="A518" t="s">
        <v>289</v>
      </c>
      <c r="B518" t="s">
        <v>25</v>
      </c>
      <c r="C518" s="2">
        <f>HYPERLINK("https://svao.dolgi.msk.ru/account/1760178762/", 1760178762)</f>
        <v>1760178762</v>
      </c>
      <c r="D518">
        <v>4526.68</v>
      </c>
    </row>
    <row r="519" spans="1:4" x14ac:dyDescent="0.25">
      <c r="A519" t="s">
        <v>289</v>
      </c>
      <c r="B519" t="s">
        <v>26</v>
      </c>
      <c r="C519" s="2">
        <f>HYPERLINK("https://svao.dolgi.msk.ru/account/1760178818/", 1760178818)</f>
        <v>1760178818</v>
      </c>
      <c r="D519">
        <v>162534.87</v>
      </c>
    </row>
    <row r="520" spans="1:4" x14ac:dyDescent="0.25">
      <c r="A520" t="s">
        <v>289</v>
      </c>
      <c r="B520" t="s">
        <v>290</v>
      </c>
      <c r="C520" s="2">
        <f>HYPERLINK("https://svao.dolgi.msk.ru/account/1760178869/", 1760178869)</f>
        <v>1760178869</v>
      </c>
      <c r="D520">
        <v>2252.59</v>
      </c>
    </row>
    <row r="521" spans="1:4" x14ac:dyDescent="0.25">
      <c r="A521" t="s">
        <v>289</v>
      </c>
      <c r="B521" t="s">
        <v>243</v>
      </c>
      <c r="C521" s="2">
        <f>HYPERLINK("https://svao.dolgi.msk.ru/account/1760178877/", 1760178877)</f>
        <v>1760178877</v>
      </c>
      <c r="D521">
        <v>10101.5</v>
      </c>
    </row>
    <row r="522" spans="1:4" x14ac:dyDescent="0.25">
      <c r="A522" t="s">
        <v>289</v>
      </c>
      <c r="B522" t="s">
        <v>129</v>
      </c>
      <c r="C522" s="2">
        <f>HYPERLINK("https://svao.dolgi.msk.ru/account/1760178957/", 1760178957)</f>
        <v>1760178957</v>
      </c>
      <c r="D522">
        <v>5837.68</v>
      </c>
    </row>
    <row r="523" spans="1:4" x14ac:dyDescent="0.25">
      <c r="A523" t="s">
        <v>289</v>
      </c>
      <c r="B523" t="s">
        <v>31</v>
      </c>
      <c r="C523" s="2">
        <f>HYPERLINK("https://svao.dolgi.msk.ru/account/1760179001/", 1760179001)</f>
        <v>1760179001</v>
      </c>
      <c r="D523">
        <v>1817.36</v>
      </c>
    </row>
    <row r="524" spans="1:4" x14ac:dyDescent="0.25">
      <c r="A524" t="s">
        <v>289</v>
      </c>
      <c r="B524" t="s">
        <v>291</v>
      </c>
      <c r="C524" s="2">
        <f>HYPERLINK("https://svao.dolgi.msk.ru/account/1760179036/", 1760179036)</f>
        <v>1760179036</v>
      </c>
      <c r="D524">
        <v>1083.5</v>
      </c>
    </row>
    <row r="525" spans="1:4" x14ac:dyDescent="0.25">
      <c r="A525" t="s">
        <v>292</v>
      </c>
      <c r="B525" t="s">
        <v>85</v>
      </c>
      <c r="C525" s="2">
        <f>HYPERLINK("https://svao.dolgi.msk.ru/account/1760179079/", 1760179079)</f>
        <v>1760179079</v>
      </c>
      <c r="D525">
        <v>4471.59</v>
      </c>
    </row>
    <row r="526" spans="1:4" x14ac:dyDescent="0.25">
      <c r="A526" t="s">
        <v>292</v>
      </c>
      <c r="B526" t="s">
        <v>34</v>
      </c>
      <c r="C526" s="2">
        <f>HYPERLINK("https://svao.dolgi.msk.ru/account/1760179095/", 1760179095)</f>
        <v>1760179095</v>
      </c>
      <c r="D526">
        <v>3557.15</v>
      </c>
    </row>
    <row r="527" spans="1:4" x14ac:dyDescent="0.25">
      <c r="A527" t="s">
        <v>292</v>
      </c>
      <c r="B527" t="s">
        <v>99</v>
      </c>
      <c r="C527" s="2">
        <f>HYPERLINK("https://svao.dolgi.msk.ru/account/1760179116/", 1760179116)</f>
        <v>1760179116</v>
      </c>
      <c r="D527">
        <v>5118.99</v>
      </c>
    </row>
    <row r="528" spans="1:4" x14ac:dyDescent="0.25">
      <c r="A528" t="s">
        <v>292</v>
      </c>
      <c r="B528" t="s">
        <v>135</v>
      </c>
      <c r="C528" s="2">
        <f>HYPERLINK("https://svao.dolgi.msk.ru/account/1760179124/", 1760179124)</f>
        <v>1760179124</v>
      </c>
      <c r="D528">
        <v>6359.71</v>
      </c>
    </row>
    <row r="529" spans="1:4" x14ac:dyDescent="0.25">
      <c r="A529" t="s">
        <v>292</v>
      </c>
      <c r="B529" t="s">
        <v>36</v>
      </c>
      <c r="C529" s="2">
        <f>HYPERLINK("https://svao.dolgi.msk.ru/account/1760179175/", 1760179175)</f>
        <v>1760179175</v>
      </c>
      <c r="D529">
        <v>1094.2</v>
      </c>
    </row>
    <row r="530" spans="1:4" x14ac:dyDescent="0.25">
      <c r="A530" t="s">
        <v>292</v>
      </c>
      <c r="B530" t="s">
        <v>36</v>
      </c>
      <c r="C530" s="2">
        <f>HYPERLINK("https://svao.dolgi.msk.ru/account/1761792473/", 1761792473)</f>
        <v>1761792473</v>
      </c>
      <c r="D530">
        <v>2399.21</v>
      </c>
    </row>
    <row r="531" spans="1:4" x14ac:dyDescent="0.25">
      <c r="A531" t="s">
        <v>292</v>
      </c>
      <c r="B531" t="s">
        <v>293</v>
      </c>
      <c r="C531" s="2">
        <f>HYPERLINK("https://svao.dolgi.msk.ru/account/1760179191/", 1760179191)</f>
        <v>1760179191</v>
      </c>
      <c r="D531">
        <v>5470.37</v>
      </c>
    </row>
    <row r="532" spans="1:4" x14ac:dyDescent="0.25">
      <c r="A532" t="s">
        <v>292</v>
      </c>
      <c r="B532" t="s">
        <v>145</v>
      </c>
      <c r="C532" s="2">
        <f>HYPERLINK("https://svao.dolgi.msk.ru/account/1760179431/", 1760179431)</f>
        <v>1760179431</v>
      </c>
      <c r="D532">
        <v>1538.15</v>
      </c>
    </row>
    <row r="533" spans="1:4" x14ac:dyDescent="0.25">
      <c r="A533" t="s">
        <v>292</v>
      </c>
      <c r="B533" t="s">
        <v>249</v>
      </c>
      <c r="C533" s="2">
        <f>HYPERLINK("https://svao.dolgi.msk.ru/account/1760179458/", 1760179458)</f>
        <v>1760179458</v>
      </c>
      <c r="D533">
        <v>3666.16</v>
      </c>
    </row>
    <row r="534" spans="1:4" x14ac:dyDescent="0.25">
      <c r="A534" t="s">
        <v>292</v>
      </c>
      <c r="B534" t="s">
        <v>294</v>
      </c>
      <c r="C534" s="2">
        <f>HYPERLINK("https://svao.dolgi.msk.ru/account/1760179546/", 1760179546)</f>
        <v>1760179546</v>
      </c>
      <c r="D534">
        <v>62597.63</v>
      </c>
    </row>
    <row r="535" spans="1:4" x14ac:dyDescent="0.25">
      <c r="A535" t="s">
        <v>292</v>
      </c>
      <c r="B535" t="s">
        <v>147</v>
      </c>
      <c r="C535" s="2">
        <f>HYPERLINK("https://svao.dolgi.msk.ru/account/1760179554/", 1760179554)</f>
        <v>1760179554</v>
      </c>
      <c r="D535">
        <v>128</v>
      </c>
    </row>
    <row r="536" spans="1:4" x14ac:dyDescent="0.25">
      <c r="A536" t="s">
        <v>292</v>
      </c>
      <c r="B536" t="s">
        <v>252</v>
      </c>
      <c r="C536" s="2">
        <f>HYPERLINK("https://svao.dolgi.msk.ru/account/1760179589/", 1760179589)</f>
        <v>1760179589</v>
      </c>
      <c r="D536">
        <v>10057.709999999999</v>
      </c>
    </row>
    <row r="537" spans="1:4" x14ac:dyDescent="0.25">
      <c r="A537" t="s">
        <v>292</v>
      </c>
      <c r="B537" t="s">
        <v>52</v>
      </c>
      <c r="C537" s="2">
        <f>HYPERLINK("https://svao.dolgi.msk.ru/account/1760179669/", 1760179669)</f>
        <v>1760179669</v>
      </c>
      <c r="D537">
        <v>7654.53</v>
      </c>
    </row>
    <row r="538" spans="1:4" x14ac:dyDescent="0.25">
      <c r="A538" t="s">
        <v>292</v>
      </c>
      <c r="B538" t="s">
        <v>148</v>
      </c>
      <c r="C538" s="2">
        <f>HYPERLINK("https://svao.dolgi.msk.ru/account/1760179685/", 1760179685)</f>
        <v>1760179685</v>
      </c>
      <c r="D538">
        <v>3470.28</v>
      </c>
    </row>
    <row r="539" spans="1:4" x14ac:dyDescent="0.25">
      <c r="A539" t="s">
        <v>292</v>
      </c>
      <c r="B539" t="s">
        <v>295</v>
      </c>
      <c r="C539" s="2">
        <f>HYPERLINK("https://svao.dolgi.msk.ru/account/1760179693/", 1760179693)</f>
        <v>1760179693</v>
      </c>
      <c r="D539">
        <v>10733.67</v>
      </c>
    </row>
    <row r="540" spans="1:4" x14ac:dyDescent="0.25">
      <c r="A540" t="s">
        <v>292</v>
      </c>
      <c r="B540" t="s">
        <v>296</v>
      </c>
      <c r="C540" s="2">
        <f>HYPERLINK("https://svao.dolgi.msk.ru/account/1760179757/", 1760179757)</f>
        <v>1760179757</v>
      </c>
      <c r="D540">
        <v>8206.2999999999993</v>
      </c>
    </row>
    <row r="541" spans="1:4" x14ac:dyDescent="0.25">
      <c r="A541" t="s">
        <v>292</v>
      </c>
      <c r="B541" t="s">
        <v>297</v>
      </c>
      <c r="C541" s="2">
        <f>HYPERLINK("https://svao.dolgi.msk.ru/account/1760179917/", 1760179917)</f>
        <v>1760179917</v>
      </c>
      <c r="D541">
        <v>4810.04</v>
      </c>
    </row>
    <row r="542" spans="1:4" x14ac:dyDescent="0.25">
      <c r="A542" t="s">
        <v>292</v>
      </c>
      <c r="B542" t="s">
        <v>298</v>
      </c>
      <c r="C542" s="2">
        <f>HYPERLINK("https://svao.dolgi.msk.ru/account/1760179925/", 1760179925)</f>
        <v>1760179925</v>
      </c>
      <c r="D542">
        <v>4784.1000000000004</v>
      </c>
    </row>
    <row r="543" spans="1:4" x14ac:dyDescent="0.25">
      <c r="A543" t="s">
        <v>292</v>
      </c>
      <c r="B543" t="s">
        <v>56</v>
      </c>
      <c r="C543" s="2">
        <f>HYPERLINK("https://svao.dolgi.msk.ru/account/1760179968/", 1760179968)</f>
        <v>1760179968</v>
      </c>
      <c r="D543">
        <v>4577.8599999999997</v>
      </c>
    </row>
    <row r="544" spans="1:4" x14ac:dyDescent="0.25">
      <c r="A544" t="s">
        <v>292</v>
      </c>
      <c r="B544" t="s">
        <v>154</v>
      </c>
      <c r="C544" s="2">
        <f>HYPERLINK("https://svao.dolgi.msk.ru/account/1760179976/", 1760179976)</f>
        <v>1760179976</v>
      </c>
      <c r="D544">
        <v>8277.57</v>
      </c>
    </row>
    <row r="545" spans="1:4" x14ac:dyDescent="0.25">
      <c r="A545" t="s">
        <v>292</v>
      </c>
      <c r="B545" t="s">
        <v>156</v>
      </c>
      <c r="C545" s="2">
        <f>HYPERLINK("https://svao.dolgi.msk.ru/account/1760180037/", 1760180037)</f>
        <v>1760180037</v>
      </c>
      <c r="D545">
        <v>4522.95</v>
      </c>
    </row>
    <row r="546" spans="1:4" x14ac:dyDescent="0.25">
      <c r="A546" t="s">
        <v>292</v>
      </c>
      <c r="B546" t="s">
        <v>299</v>
      </c>
      <c r="C546" s="2">
        <f>HYPERLINK("https://svao.dolgi.msk.ru/account/1760180125/", 1760180125)</f>
        <v>1760180125</v>
      </c>
      <c r="D546">
        <v>3659.39</v>
      </c>
    </row>
    <row r="547" spans="1:4" x14ac:dyDescent="0.25">
      <c r="A547" t="s">
        <v>292</v>
      </c>
      <c r="B547" t="s">
        <v>158</v>
      </c>
      <c r="C547" s="2">
        <f>HYPERLINK("https://svao.dolgi.msk.ru/account/1760180133/", 1760180133)</f>
        <v>1760180133</v>
      </c>
      <c r="D547">
        <v>8965.75</v>
      </c>
    </row>
    <row r="548" spans="1:4" x14ac:dyDescent="0.25">
      <c r="A548" t="s">
        <v>300</v>
      </c>
      <c r="B548" t="s">
        <v>7</v>
      </c>
      <c r="C548" s="2">
        <f>HYPERLINK("https://svao.dolgi.msk.ru/account/1760048036/", 1760048036)</f>
        <v>1760048036</v>
      </c>
      <c r="D548">
        <v>7057.52</v>
      </c>
    </row>
    <row r="549" spans="1:4" x14ac:dyDescent="0.25">
      <c r="A549" t="s">
        <v>300</v>
      </c>
      <c r="B549" t="s">
        <v>101</v>
      </c>
      <c r="C549" s="2">
        <f>HYPERLINK("https://svao.dolgi.msk.ru/account/1760048044/", 1760048044)</f>
        <v>1760048044</v>
      </c>
      <c r="D549">
        <v>4417.5</v>
      </c>
    </row>
    <row r="550" spans="1:4" x14ac:dyDescent="0.25">
      <c r="A550" t="s">
        <v>300</v>
      </c>
      <c r="B550" t="s">
        <v>103</v>
      </c>
      <c r="C550" s="2">
        <f>HYPERLINK("https://svao.dolgi.msk.ru/account/1760048087/", 1760048087)</f>
        <v>1760048087</v>
      </c>
      <c r="D550">
        <v>7000.12</v>
      </c>
    </row>
    <row r="551" spans="1:4" x14ac:dyDescent="0.25">
      <c r="A551" t="s">
        <v>300</v>
      </c>
      <c r="B551" t="s">
        <v>73</v>
      </c>
      <c r="C551" s="2">
        <f>HYPERLINK("https://svao.dolgi.msk.ru/account/1760048095/", 1760048095)</f>
        <v>1760048095</v>
      </c>
      <c r="D551">
        <v>8138.5</v>
      </c>
    </row>
    <row r="552" spans="1:4" x14ac:dyDescent="0.25">
      <c r="A552" t="s">
        <v>300</v>
      </c>
      <c r="B552" t="s">
        <v>104</v>
      </c>
      <c r="C552" s="2">
        <f>HYPERLINK("https://svao.dolgi.msk.ru/account/1760048108/", 1760048108)</f>
        <v>1760048108</v>
      </c>
      <c r="D552">
        <v>2182.16</v>
      </c>
    </row>
    <row r="553" spans="1:4" x14ac:dyDescent="0.25">
      <c r="A553" t="s">
        <v>300</v>
      </c>
      <c r="B553" t="s">
        <v>106</v>
      </c>
      <c r="C553" s="2">
        <f>HYPERLINK("https://svao.dolgi.msk.ru/account/1760048255/", 1760048255)</f>
        <v>1760048255</v>
      </c>
      <c r="D553">
        <v>3597.41</v>
      </c>
    </row>
    <row r="554" spans="1:4" x14ac:dyDescent="0.25">
      <c r="A554" t="s">
        <v>300</v>
      </c>
      <c r="B554" t="s">
        <v>17</v>
      </c>
      <c r="C554" s="2">
        <f>HYPERLINK("https://svao.dolgi.msk.ru/account/1760271529/", 1760271529)</f>
        <v>1760271529</v>
      </c>
      <c r="D554">
        <v>4143.08</v>
      </c>
    </row>
    <row r="555" spans="1:4" x14ac:dyDescent="0.25">
      <c r="A555" t="s">
        <v>300</v>
      </c>
      <c r="B555" t="s">
        <v>110</v>
      </c>
      <c r="C555" s="2">
        <f>HYPERLINK("https://svao.dolgi.msk.ru/account/1760048378/", 1760048378)</f>
        <v>1760048378</v>
      </c>
      <c r="D555">
        <v>3608.33</v>
      </c>
    </row>
    <row r="556" spans="1:4" x14ac:dyDescent="0.25">
      <c r="A556" t="s">
        <v>300</v>
      </c>
      <c r="B556" t="s">
        <v>92</v>
      </c>
      <c r="C556" s="2">
        <f>HYPERLINK("https://svao.dolgi.msk.ru/account/1760048407/", 1760048407)</f>
        <v>1760048407</v>
      </c>
      <c r="D556">
        <v>6702.43</v>
      </c>
    </row>
    <row r="557" spans="1:4" x14ac:dyDescent="0.25">
      <c r="A557" t="s">
        <v>300</v>
      </c>
      <c r="B557" t="s">
        <v>112</v>
      </c>
      <c r="C557" s="2">
        <f>HYPERLINK("https://svao.dolgi.msk.ru/account/1760048458/", 1760048458)</f>
        <v>1760048458</v>
      </c>
      <c r="D557">
        <v>33763.99</v>
      </c>
    </row>
    <row r="558" spans="1:4" x14ac:dyDescent="0.25">
      <c r="A558" t="s">
        <v>300</v>
      </c>
      <c r="B558" t="s">
        <v>21</v>
      </c>
      <c r="C558" s="2">
        <f>HYPERLINK("https://svao.dolgi.msk.ru/account/1760048474/", 1760048474)</f>
        <v>1760048474</v>
      </c>
      <c r="D558">
        <v>3506.05</v>
      </c>
    </row>
    <row r="559" spans="1:4" x14ac:dyDescent="0.25">
      <c r="A559" t="s">
        <v>300</v>
      </c>
      <c r="B559" t="s">
        <v>77</v>
      </c>
      <c r="C559" s="2">
        <f>HYPERLINK("https://svao.dolgi.msk.ru/account/1760048482/", 1760048482)</f>
        <v>1760048482</v>
      </c>
      <c r="D559">
        <v>1310.98</v>
      </c>
    </row>
    <row r="560" spans="1:4" x14ac:dyDescent="0.25">
      <c r="A560" t="s">
        <v>300</v>
      </c>
      <c r="B560" t="s">
        <v>79</v>
      </c>
      <c r="C560" s="2">
        <f>HYPERLINK("https://svao.dolgi.msk.ru/account/1760048546/", 1760048546)</f>
        <v>1760048546</v>
      </c>
      <c r="D560">
        <v>4755.1099999999997</v>
      </c>
    </row>
    <row r="561" spans="1:4" x14ac:dyDescent="0.25">
      <c r="A561" t="s">
        <v>300</v>
      </c>
      <c r="B561" t="s">
        <v>23</v>
      </c>
      <c r="C561" s="2">
        <f>HYPERLINK("https://svao.dolgi.msk.ru/account/1760048554/", 1760048554)</f>
        <v>1760048554</v>
      </c>
      <c r="D561">
        <v>10765.53</v>
      </c>
    </row>
    <row r="562" spans="1:4" x14ac:dyDescent="0.25">
      <c r="A562" t="s">
        <v>300</v>
      </c>
      <c r="B562" t="s">
        <v>117</v>
      </c>
      <c r="C562" s="2">
        <f>HYPERLINK("https://svao.dolgi.msk.ru/account/1760048589/", 1760048589)</f>
        <v>1760048589</v>
      </c>
      <c r="D562">
        <v>3299.15</v>
      </c>
    </row>
    <row r="563" spans="1:4" x14ac:dyDescent="0.25">
      <c r="A563" t="s">
        <v>300</v>
      </c>
      <c r="B563" t="s">
        <v>24</v>
      </c>
      <c r="C563" s="2">
        <f>HYPERLINK("https://svao.dolgi.msk.ru/account/1760048626/", 1760048626)</f>
        <v>1760048626</v>
      </c>
      <c r="D563">
        <v>243.69</v>
      </c>
    </row>
    <row r="564" spans="1:4" x14ac:dyDescent="0.25">
      <c r="A564" t="s">
        <v>300</v>
      </c>
      <c r="B564" t="s">
        <v>95</v>
      </c>
      <c r="C564" s="2">
        <f>HYPERLINK("https://svao.dolgi.msk.ru/account/1760048669/", 1760048669)</f>
        <v>1760048669</v>
      </c>
      <c r="D564">
        <v>2780.9</v>
      </c>
    </row>
    <row r="565" spans="1:4" x14ac:dyDescent="0.25">
      <c r="A565" t="s">
        <v>300</v>
      </c>
      <c r="B565" t="s">
        <v>127</v>
      </c>
      <c r="C565" s="2">
        <f>HYPERLINK("https://svao.dolgi.msk.ru/account/1760048722/", 1760048722)</f>
        <v>1760048722</v>
      </c>
      <c r="D565">
        <v>4107.8900000000003</v>
      </c>
    </row>
    <row r="566" spans="1:4" x14ac:dyDescent="0.25">
      <c r="A566" t="s">
        <v>300</v>
      </c>
      <c r="B566" t="s">
        <v>81</v>
      </c>
      <c r="C566" s="2">
        <f>HYPERLINK("https://svao.dolgi.msk.ru/account/1760048749/", 1760048749)</f>
        <v>1760048749</v>
      </c>
      <c r="D566">
        <v>6804.59</v>
      </c>
    </row>
    <row r="567" spans="1:4" x14ac:dyDescent="0.25">
      <c r="A567" t="s">
        <v>300</v>
      </c>
      <c r="B567" t="s">
        <v>128</v>
      </c>
      <c r="C567" s="2">
        <f>HYPERLINK("https://svao.dolgi.msk.ru/account/1760048781/", 1760048781)</f>
        <v>1760048781</v>
      </c>
      <c r="D567">
        <v>5406.16</v>
      </c>
    </row>
    <row r="568" spans="1:4" x14ac:dyDescent="0.25">
      <c r="A568" t="s">
        <v>300</v>
      </c>
      <c r="B568" t="s">
        <v>27</v>
      </c>
      <c r="C568" s="2">
        <f>HYPERLINK("https://svao.dolgi.msk.ru/account/1760048888/", 1760048888)</f>
        <v>1760048888</v>
      </c>
      <c r="D568">
        <v>6915.2</v>
      </c>
    </row>
    <row r="569" spans="1:4" x14ac:dyDescent="0.25">
      <c r="A569" t="s">
        <v>300</v>
      </c>
      <c r="B569" t="s">
        <v>290</v>
      </c>
      <c r="C569" s="2">
        <f>HYPERLINK("https://svao.dolgi.msk.ru/account/1760048896/", 1760048896)</f>
        <v>1760048896</v>
      </c>
      <c r="D569">
        <v>61726.04</v>
      </c>
    </row>
    <row r="570" spans="1:4" x14ac:dyDescent="0.25">
      <c r="A570" t="s">
        <v>300</v>
      </c>
      <c r="B570" t="s">
        <v>121</v>
      </c>
      <c r="C570" s="2">
        <f>HYPERLINK("https://svao.dolgi.msk.ru/account/1760048917/", 1760048917)</f>
        <v>1760048917</v>
      </c>
      <c r="D570">
        <v>1439.51</v>
      </c>
    </row>
    <row r="571" spans="1:4" x14ac:dyDescent="0.25">
      <c r="A571" t="s">
        <v>300</v>
      </c>
      <c r="B571" t="s">
        <v>139</v>
      </c>
      <c r="C571" s="2">
        <f>HYPERLINK("https://svao.dolgi.msk.ru/account/1760048933/", 1760048933)</f>
        <v>1760048933</v>
      </c>
      <c r="D571">
        <v>4490.7</v>
      </c>
    </row>
    <row r="572" spans="1:4" x14ac:dyDescent="0.25">
      <c r="A572" t="s">
        <v>300</v>
      </c>
      <c r="B572" t="s">
        <v>129</v>
      </c>
      <c r="C572" s="2">
        <f>HYPERLINK("https://svao.dolgi.msk.ru/account/1760048984/", 1760048984)</f>
        <v>1760048984</v>
      </c>
      <c r="D572">
        <v>3056.72</v>
      </c>
    </row>
    <row r="573" spans="1:4" x14ac:dyDescent="0.25">
      <c r="A573" t="s">
        <v>300</v>
      </c>
      <c r="B573" t="s">
        <v>34</v>
      </c>
      <c r="C573" s="2">
        <f>HYPERLINK("https://svao.dolgi.msk.ru/account/1760049135/", 1760049135)</f>
        <v>1760049135</v>
      </c>
      <c r="D573">
        <v>6184.03</v>
      </c>
    </row>
    <row r="574" spans="1:4" x14ac:dyDescent="0.25">
      <c r="A574" t="s">
        <v>300</v>
      </c>
      <c r="B574" t="s">
        <v>87</v>
      </c>
      <c r="C574" s="2">
        <f>HYPERLINK("https://svao.dolgi.msk.ru/account/1760049207/", 1760049207)</f>
        <v>1760049207</v>
      </c>
      <c r="D574">
        <v>5577.07</v>
      </c>
    </row>
    <row r="575" spans="1:4" x14ac:dyDescent="0.25">
      <c r="A575" t="s">
        <v>300</v>
      </c>
      <c r="B575" t="s">
        <v>40</v>
      </c>
      <c r="C575" s="2">
        <f>HYPERLINK("https://svao.dolgi.msk.ru/account/1760049303/", 1760049303)</f>
        <v>1760049303</v>
      </c>
      <c r="D575">
        <v>1166.3800000000001</v>
      </c>
    </row>
    <row r="576" spans="1:4" x14ac:dyDescent="0.25">
      <c r="A576" t="s">
        <v>300</v>
      </c>
      <c r="B576" t="s">
        <v>89</v>
      </c>
      <c r="C576" s="2">
        <f>HYPERLINK("https://svao.dolgi.msk.ru/account/1760049362/", 1760049362)</f>
        <v>1760049362</v>
      </c>
      <c r="D576">
        <v>87630.06</v>
      </c>
    </row>
    <row r="577" spans="1:4" x14ac:dyDescent="0.25">
      <c r="A577" t="s">
        <v>300</v>
      </c>
      <c r="B577" t="s">
        <v>144</v>
      </c>
      <c r="C577" s="2">
        <f>HYPERLINK("https://svao.dolgi.msk.ru/account/1760049442/", 1760049442)</f>
        <v>1760049442</v>
      </c>
      <c r="D577">
        <v>5629.41</v>
      </c>
    </row>
    <row r="578" spans="1:4" x14ac:dyDescent="0.25">
      <c r="A578" t="s">
        <v>300</v>
      </c>
      <c r="B578" t="s">
        <v>301</v>
      </c>
      <c r="C578" s="2">
        <f>HYPERLINK("https://svao.dolgi.msk.ru/account/1760049477/", 1760049477)</f>
        <v>1760049477</v>
      </c>
      <c r="D578">
        <v>164.77</v>
      </c>
    </row>
    <row r="579" spans="1:4" x14ac:dyDescent="0.25">
      <c r="A579" t="s">
        <v>300</v>
      </c>
      <c r="B579" t="s">
        <v>47</v>
      </c>
      <c r="C579" s="2">
        <f>HYPERLINK("https://svao.dolgi.msk.ru/account/1760049549/", 1760049549)</f>
        <v>1760049549</v>
      </c>
      <c r="D579">
        <v>4788.7700000000004</v>
      </c>
    </row>
    <row r="580" spans="1:4" x14ac:dyDescent="0.25">
      <c r="A580" t="s">
        <v>300</v>
      </c>
      <c r="B580" t="s">
        <v>294</v>
      </c>
      <c r="C580" s="2">
        <f>HYPERLINK("https://svao.dolgi.msk.ru/account/1760049602/", 1760049602)</f>
        <v>1760049602</v>
      </c>
      <c r="D580">
        <v>4588.49</v>
      </c>
    </row>
    <row r="581" spans="1:4" x14ac:dyDescent="0.25">
      <c r="A581" t="s">
        <v>300</v>
      </c>
      <c r="B581" t="s">
        <v>251</v>
      </c>
      <c r="C581" s="2">
        <f>HYPERLINK("https://svao.dolgi.msk.ru/account/1760049637/", 1760049637)</f>
        <v>1760049637</v>
      </c>
      <c r="D581">
        <v>8822.1</v>
      </c>
    </row>
    <row r="582" spans="1:4" x14ac:dyDescent="0.25">
      <c r="A582" t="s">
        <v>300</v>
      </c>
      <c r="B582" t="s">
        <v>302</v>
      </c>
      <c r="C582" s="2">
        <f>HYPERLINK("https://svao.dolgi.msk.ru/account/1760271481/", 1760271481)</f>
        <v>1760271481</v>
      </c>
      <c r="D582">
        <v>5610.41</v>
      </c>
    </row>
    <row r="583" spans="1:4" x14ac:dyDescent="0.25">
      <c r="A583" t="s">
        <v>300</v>
      </c>
      <c r="B583" t="s">
        <v>148</v>
      </c>
      <c r="C583" s="2">
        <f>HYPERLINK("https://svao.dolgi.msk.ru/account/1760049733/", 1760049733)</f>
        <v>1760049733</v>
      </c>
      <c r="D583">
        <v>1435.19</v>
      </c>
    </row>
    <row r="584" spans="1:4" x14ac:dyDescent="0.25">
      <c r="A584" t="s">
        <v>303</v>
      </c>
      <c r="B584" t="s">
        <v>41</v>
      </c>
      <c r="C584" s="2">
        <f>HYPERLINK("https://svao.dolgi.msk.ru/account/1760173144/", 1760173144)</f>
        <v>1760173144</v>
      </c>
      <c r="D584">
        <v>18175.59</v>
      </c>
    </row>
    <row r="585" spans="1:4" x14ac:dyDescent="0.25">
      <c r="A585" t="s">
        <v>303</v>
      </c>
      <c r="B585" t="s">
        <v>102</v>
      </c>
      <c r="C585" s="2">
        <f>HYPERLINK("https://svao.dolgi.msk.ru/account/1760173208/", 1760173208)</f>
        <v>1760173208</v>
      </c>
      <c r="D585">
        <v>4422.45</v>
      </c>
    </row>
    <row r="586" spans="1:4" x14ac:dyDescent="0.25">
      <c r="A586" t="s">
        <v>303</v>
      </c>
      <c r="B586" t="s">
        <v>103</v>
      </c>
      <c r="C586" s="2">
        <f>HYPERLINK("https://svao.dolgi.msk.ru/account/1760173216/", 1760173216)</f>
        <v>1760173216</v>
      </c>
      <c r="D586">
        <v>9363.1200000000008</v>
      </c>
    </row>
    <row r="587" spans="1:4" x14ac:dyDescent="0.25">
      <c r="A587" t="s">
        <v>303</v>
      </c>
      <c r="B587" t="s">
        <v>9</v>
      </c>
      <c r="C587" s="2">
        <f>HYPERLINK("https://svao.dolgi.msk.ru/account/1760173283/", 1760173283)</f>
        <v>1760173283</v>
      </c>
      <c r="D587">
        <v>16002.79</v>
      </c>
    </row>
    <row r="588" spans="1:4" x14ac:dyDescent="0.25">
      <c r="A588" t="s">
        <v>303</v>
      </c>
      <c r="B588" t="s">
        <v>11</v>
      </c>
      <c r="C588" s="2">
        <f>HYPERLINK("https://svao.dolgi.msk.ru/account/1760173347/", 1760173347)</f>
        <v>1760173347</v>
      </c>
      <c r="D588">
        <v>6728.55</v>
      </c>
    </row>
    <row r="589" spans="1:4" x14ac:dyDescent="0.25">
      <c r="A589" t="s">
        <v>303</v>
      </c>
      <c r="B589" t="s">
        <v>18</v>
      </c>
      <c r="C589" s="2">
        <f>HYPERLINK("https://svao.dolgi.msk.ru/account/1760173478/", 1760173478)</f>
        <v>1760173478</v>
      </c>
      <c r="D589">
        <v>7117.59</v>
      </c>
    </row>
    <row r="590" spans="1:4" x14ac:dyDescent="0.25">
      <c r="A590" t="s">
        <v>303</v>
      </c>
      <c r="B590" t="s">
        <v>19</v>
      </c>
      <c r="C590" s="2">
        <f>HYPERLINK("https://svao.dolgi.msk.ru/account/1760173486/", 1760173486)</f>
        <v>1760173486</v>
      </c>
      <c r="D590">
        <v>14805.3</v>
      </c>
    </row>
    <row r="591" spans="1:4" x14ac:dyDescent="0.25">
      <c r="A591" t="s">
        <v>303</v>
      </c>
      <c r="B591" t="s">
        <v>110</v>
      </c>
      <c r="C591" s="2">
        <f>HYPERLINK("https://svao.dolgi.msk.ru/account/1760173507/", 1760173507)</f>
        <v>1760173507</v>
      </c>
      <c r="D591">
        <v>2658.69</v>
      </c>
    </row>
    <row r="592" spans="1:4" x14ac:dyDescent="0.25">
      <c r="A592" t="s">
        <v>303</v>
      </c>
      <c r="B592" t="s">
        <v>20</v>
      </c>
      <c r="C592" s="2">
        <f>HYPERLINK("https://svao.dolgi.msk.ru/account/1760173515/", 1760173515)</f>
        <v>1760173515</v>
      </c>
      <c r="D592">
        <v>4975.0200000000004</v>
      </c>
    </row>
    <row r="593" spans="1:4" x14ac:dyDescent="0.25">
      <c r="A593" t="s">
        <v>303</v>
      </c>
      <c r="B593" t="s">
        <v>111</v>
      </c>
      <c r="C593" s="2">
        <f>HYPERLINK("https://svao.dolgi.msk.ru/account/1760173566/", 1760173566)</f>
        <v>1760173566</v>
      </c>
      <c r="D593">
        <v>10626.55</v>
      </c>
    </row>
    <row r="594" spans="1:4" x14ac:dyDescent="0.25">
      <c r="A594" t="s">
        <v>303</v>
      </c>
      <c r="B594" t="s">
        <v>78</v>
      </c>
      <c r="C594" s="2">
        <f>HYPERLINK("https://svao.dolgi.msk.ru/account/1760173654/", 1760173654)</f>
        <v>1760173654</v>
      </c>
      <c r="D594">
        <v>3389.37</v>
      </c>
    </row>
    <row r="595" spans="1:4" x14ac:dyDescent="0.25">
      <c r="A595" t="s">
        <v>303</v>
      </c>
      <c r="B595" t="s">
        <v>23</v>
      </c>
      <c r="C595" s="2">
        <f>HYPERLINK("https://svao.dolgi.msk.ru/account/1760173697/", 1760173697)</f>
        <v>1760173697</v>
      </c>
      <c r="D595">
        <v>11441.48</v>
      </c>
    </row>
    <row r="596" spans="1:4" x14ac:dyDescent="0.25">
      <c r="A596" t="s">
        <v>303</v>
      </c>
      <c r="B596" t="s">
        <v>117</v>
      </c>
      <c r="C596" s="2">
        <f>HYPERLINK("https://svao.dolgi.msk.ru/account/1760173726/", 1760173726)</f>
        <v>1760173726</v>
      </c>
      <c r="D596">
        <v>6091.65</v>
      </c>
    </row>
    <row r="597" spans="1:4" x14ac:dyDescent="0.25">
      <c r="A597" t="s">
        <v>303</v>
      </c>
      <c r="B597" t="s">
        <v>127</v>
      </c>
      <c r="C597" s="2">
        <f>HYPERLINK("https://svao.dolgi.msk.ru/account/1760173865/", 1760173865)</f>
        <v>1760173865</v>
      </c>
      <c r="D597">
        <v>23176.85</v>
      </c>
    </row>
    <row r="598" spans="1:4" x14ac:dyDescent="0.25">
      <c r="A598" t="s">
        <v>303</v>
      </c>
      <c r="B598" t="s">
        <v>26</v>
      </c>
      <c r="C598" s="2">
        <f>HYPERLINK("https://svao.dolgi.msk.ru/account/1760173988/", 1760173988)</f>
        <v>1760173988</v>
      </c>
      <c r="D598">
        <v>2468.7800000000002</v>
      </c>
    </row>
    <row r="599" spans="1:4" x14ac:dyDescent="0.25">
      <c r="A599" t="s">
        <v>303</v>
      </c>
      <c r="B599" t="s">
        <v>290</v>
      </c>
      <c r="C599" s="2">
        <f>HYPERLINK("https://svao.dolgi.msk.ru/account/1760174024/", 1760174024)</f>
        <v>1760174024</v>
      </c>
      <c r="D599">
        <v>7489.03</v>
      </c>
    </row>
    <row r="600" spans="1:4" x14ac:dyDescent="0.25">
      <c r="A600" t="s">
        <v>303</v>
      </c>
      <c r="B600" t="s">
        <v>134</v>
      </c>
      <c r="C600" s="2">
        <f>HYPERLINK("https://svao.dolgi.msk.ru/account/1760174067/", 1760174067)</f>
        <v>1760174067</v>
      </c>
      <c r="D600">
        <v>9808.02</v>
      </c>
    </row>
    <row r="601" spans="1:4" x14ac:dyDescent="0.25">
      <c r="A601" t="s">
        <v>303</v>
      </c>
      <c r="B601" t="s">
        <v>28</v>
      </c>
      <c r="C601" s="2">
        <f>HYPERLINK("https://svao.dolgi.msk.ru/account/1760174083/", 1760174083)</f>
        <v>1760174083</v>
      </c>
      <c r="D601">
        <v>3883.39</v>
      </c>
    </row>
    <row r="602" spans="1:4" x14ac:dyDescent="0.25">
      <c r="A602" t="s">
        <v>303</v>
      </c>
      <c r="B602" t="s">
        <v>129</v>
      </c>
      <c r="C602" s="2">
        <f>HYPERLINK("https://svao.dolgi.msk.ru/account/1760174112/", 1760174112)</f>
        <v>1760174112</v>
      </c>
      <c r="D602">
        <v>4549.7700000000004</v>
      </c>
    </row>
    <row r="603" spans="1:4" x14ac:dyDescent="0.25">
      <c r="A603" t="s">
        <v>303</v>
      </c>
      <c r="B603" t="s">
        <v>98</v>
      </c>
      <c r="C603" s="2">
        <f>HYPERLINK("https://svao.dolgi.msk.ru/account/1760174171/", 1760174171)</f>
        <v>1760174171</v>
      </c>
      <c r="D603">
        <v>3691.98</v>
      </c>
    </row>
    <row r="604" spans="1:4" x14ac:dyDescent="0.25">
      <c r="A604" t="s">
        <v>303</v>
      </c>
      <c r="B604" t="s">
        <v>291</v>
      </c>
      <c r="C604" s="2">
        <f>HYPERLINK("https://svao.dolgi.msk.ru/account/1760174198/", 1760174198)</f>
        <v>1760174198</v>
      </c>
      <c r="D604">
        <v>2779.24</v>
      </c>
    </row>
    <row r="605" spans="1:4" x14ac:dyDescent="0.25">
      <c r="A605" t="s">
        <v>303</v>
      </c>
      <c r="B605" t="s">
        <v>291</v>
      </c>
      <c r="C605" s="2">
        <f>HYPERLINK("https://svao.dolgi.msk.ru/account/1760271852/", 1760271852)</f>
        <v>1760271852</v>
      </c>
      <c r="D605">
        <v>160.76</v>
      </c>
    </row>
    <row r="606" spans="1:4" x14ac:dyDescent="0.25">
      <c r="A606" t="s">
        <v>303</v>
      </c>
      <c r="B606" t="s">
        <v>32</v>
      </c>
      <c r="C606" s="2">
        <f>HYPERLINK("https://svao.dolgi.msk.ru/account/1760174227/", 1760174227)</f>
        <v>1760174227</v>
      </c>
      <c r="D606">
        <v>7105.71</v>
      </c>
    </row>
    <row r="607" spans="1:4" x14ac:dyDescent="0.25">
      <c r="A607" t="s">
        <v>303</v>
      </c>
      <c r="B607" t="s">
        <v>99</v>
      </c>
      <c r="C607" s="2">
        <f>HYPERLINK("https://svao.dolgi.msk.ru/account/1760174286/", 1760174286)</f>
        <v>1760174286</v>
      </c>
      <c r="D607">
        <v>4718.33</v>
      </c>
    </row>
    <row r="608" spans="1:4" x14ac:dyDescent="0.25">
      <c r="A608" t="s">
        <v>303</v>
      </c>
      <c r="B608" t="s">
        <v>87</v>
      </c>
      <c r="C608" s="2">
        <f>HYPERLINK("https://svao.dolgi.msk.ru/account/1760174323/", 1760174323)</f>
        <v>1760174323</v>
      </c>
      <c r="D608">
        <v>422.37</v>
      </c>
    </row>
    <row r="609" spans="1:4" x14ac:dyDescent="0.25">
      <c r="A609" t="s">
        <v>303</v>
      </c>
      <c r="B609" t="s">
        <v>304</v>
      </c>
      <c r="C609" s="2">
        <f>HYPERLINK("https://svao.dolgi.msk.ru/account/1760174374/", 1760174374)</f>
        <v>1760174374</v>
      </c>
      <c r="D609">
        <v>3381.79</v>
      </c>
    </row>
    <row r="610" spans="1:4" x14ac:dyDescent="0.25">
      <c r="A610" t="s">
        <v>303</v>
      </c>
      <c r="B610" t="s">
        <v>43</v>
      </c>
      <c r="C610" s="2">
        <f>HYPERLINK("https://svao.dolgi.msk.ru/account/1760174446/", 1760174446)</f>
        <v>1760174446</v>
      </c>
      <c r="D610">
        <v>3470.02</v>
      </c>
    </row>
    <row r="611" spans="1:4" x14ac:dyDescent="0.25">
      <c r="A611" t="s">
        <v>303</v>
      </c>
      <c r="B611" t="s">
        <v>142</v>
      </c>
      <c r="C611" s="2">
        <f>HYPERLINK("https://svao.dolgi.msk.ru/account/1760174497/", 1760174497)</f>
        <v>1760174497</v>
      </c>
      <c r="D611">
        <v>16999.86</v>
      </c>
    </row>
    <row r="612" spans="1:4" x14ac:dyDescent="0.25">
      <c r="A612" t="s">
        <v>303</v>
      </c>
      <c r="B612" t="s">
        <v>247</v>
      </c>
      <c r="C612" s="2">
        <f>HYPERLINK("https://svao.dolgi.msk.ru/account/1760174518/", 1760174518)</f>
        <v>1760174518</v>
      </c>
      <c r="D612">
        <v>2889.63</v>
      </c>
    </row>
    <row r="613" spans="1:4" x14ac:dyDescent="0.25">
      <c r="A613" t="s">
        <v>303</v>
      </c>
      <c r="B613" t="s">
        <v>305</v>
      </c>
      <c r="C613" s="2">
        <f>HYPERLINK("https://svao.dolgi.msk.ru/account/1760174526/", 1760174526)</f>
        <v>1760174526</v>
      </c>
      <c r="D613">
        <v>5044.16</v>
      </c>
    </row>
    <row r="614" spans="1:4" x14ac:dyDescent="0.25">
      <c r="A614" t="s">
        <v>303</v>
      </c>
      <c r="B614" t="s">
        <v>301</v>
      </c>
      <c r="C614" s="2">
        <f>HYPERLINK("https://svao.dolgi.msk.ru/account/1760174585/", 1760174585)</f>
        <v>1760174585</v>
      </c>
      <c r="D614">
        <v>5581.18</v>
      </c>
    </row>
    <row r="615" spans="1:4" x14ac:dyDescent="0.25">
      <c r="A615" t="s">
        <v>303</v>
      </c>
      <c r="B615" t="s">
        <v>248</v>
      </c>
      <c r="C615" s="2">
        <f>HYPERLINK("https://svao.dolgi.msk.ru/account/1760174593/", 1760174593)</f>
        <v>1760174593</v>
      </c>
      <c r="D615">
        <v>4929.34</v>
      </c>
    </row>
    <row r="616" spans="1:4" x14ac:dyDescent="0.25">
      <c r="A616" t="s">
        <v>303</v>
      </c>
      <c r="B616" t="s">
        <v>250</v>
      </c>
      <c r="C616" s="2">
        <f>HYPERLINK("https://svao.dolgi.msk.ru/account/1760174665/", 1760174665)</f>
        <v>1760174665</v>
      </c>
      <c r="D616">
        <v>2907.14</v>
      </c>
    </row>
    <row r="617" spans="1:4" x14ac:dyDescent="0.25">
      <c r="A617" t="s">
        <v>303</v>
      </c>
      <c r="B617" t="s">
        <v>294</v>
      </c>
      <c r="C617" s="2">
        <f>HYPERLINK("https://svao.dolgi.msk.ru/account/1760174729/", 1760174729)</f>
        <v>1760174729</v>
      </c>
      <c r="D617">
        <v>4927.2</v>
      </c>
    </row>
    <row r="618" spans="1:4" x14ac:dyDescent="0.25">
      <c r="A618" t="s">
        <v>303</v>
      </c>
      <c r="B618" t="s">
        <v>306</v>
      </c>
      <c r="C618" s="2">
        <f>HYPERLINK("https://svao.dolgi.msk.ru/account/1760174761/", 1760174761)</f>
        <v>1760174761</v>
      </c>
      <c r="D618">
        <v>11715.65</v>
      </c>
    </row>
    <row r="619" spans="1:4" x14ac:dyDescent="0.25">
      <c r="A619" t="s">
        <v>303</v>
      </c>
      <c r="B619" t="s">
        <v>51</v>
      </c>
      <c r="C619" s="2">
        <f>HYPERLINK("https://svao.dolgi.msk.ru/account/1760174796/", 1760174796)</f>
        <v>1760174796</v>
      </c>
      <c r="D619">
        <v>3545.98</v>
      </c>
    </row>
    <row r="620" spans="1:4" x14ac:dyDescent="0.25">
      <c r="A620" t="s">
        <v>303</v>
      </c>
      <c r="B620" t="s">
        <v>52</v>
      </c>
      <c r="C620" s="2">
        <f>HYPERLINK("https://svao.dolgi.msk.ru/account/1760174825/", 1760174825)</f>
        <v>1760174825</v>
      </c>
      <c r="D620">
        <v>9465.48</v>
      </c>
    </row>
    <row r="621" spans="1:4" x14ac:dyDescent="0.25">
      <c r="A621" t="s">
        <v>303</v>
      </c>
      <c r="B621" t="s">
        <v>295</v>
      </c>
      <c r="C621" s="2">
        <f>HYPERLINK("https://svao.dolgi.msk.ru/account/1760174868/", 1760174868)</f>
        <v>1760174868</v>
      </c>
      <c r="D621">
        <v>1846.88</v>
      </c>
    </row>
    <row r="622" spans="1:4" x14ac:dyDescent="0.25">
      <c r="A622" t="s">
        <v>303</v>
      </c>
      <c r="B622" t="s">
        <v>307</v>
      </c>
      <c r="C622" s="2">
        <f>HYPERLINK("https://svao.dolgi.msk.ru/account/1761812286/", 1761812286)</f>
        <v>1761812286</v>
      </c>
      <c r="D622">
        <v>7181.45</v>
      </c>
    </row>
    <row r="623" spans="1:4" x14ac:dyDescent="0.25">
      <c r="A623" t="s">
        <v>303</v>
      </c>
      <c r="B623" t="s">
        <v>150</v>
      </c>
      <c r="C623" s="2">
        <f>HYPERLINK("https://svao.dolgi.msk.ru/account/1760174892/", 1760174892)</f>
        <v>1760174892</v>
      </c>
      <c r="D623">
        <v>5027.67</v>
      </c>
    </row>
    <row r="624" spans="1:4" x14ac:dyDescent="0.25">
      <c r="A624" t="s">
        <v>303</v>
      </c>
      <c r="B624" t="s">
        <v>152</v>
      </c>
      <c r="C624" s="2">
        <f>HYPERLINK("https://svao.dolgi.msk.ru/account/1760174921/", 1760174921)</f>
        <v>1760174921</v>
      </c>
      <c r="D624">
        <v>1800.34</v>
      </c>
    </row>
    <row r="625" spans="1:4" x14ac:dyDescent="0.25">
      <c r="A625" t="s">
        <v>303</v>
      </c>
      <c r="B625" t="s">
        <v>53</v>
      </c>
      <c r="C625" s="2">
        <f>HYPERLINK("https://svao.dolgi.msk.ru/account/1760174956/", 1760174956)</f>
        <v>1760174956</v>
      </c>
      <c r="D625">
        <v>7427.87</v>
      </c>
    </row>
    <row r="626" spans="1:4" x14ac:dyDescent="0.25">
      <c r="A626" t="s">
        <v>303</v>
      </c>
      <c r="B626" t="s">
        <v>308</v>
      </c>
      <c r="C626" s="2">
        <f>HYPERLINK("https://svao.dolgi.msk.ru/account/1760175019/", 1760175019)</f>
        <v>1760175019</v>
      </c>
      <c r="D626">
        <v>1391.45</v>
      </c>
    </row>
    <row r="627" spans="1:4" x14ac:dyDescent="0.25">
      <c r="A627" t="s">
        <v>303</v>
      </c>
      <c r="B627" t="s">
        <v>309</v>
      </c>
      <c r="C627" s="2">
        <f>HYPERLINK("https://svao.dolgi.msk.ru/account/1760175027/", 1760175027)</f>
        <v>1760175027</v>
      </c>
      <c r="D627">
        <v>3785.57</v>
      </c>
    </row>
    <row r="628" spans="1:4" x14ac:dyDescent="0.25">
      <c r="A628" t="s">
        <v>303</v>
      </c>
      <c r="B628" t="s">
        <v>255</v>
      </c>
      <c r="C628" s="2">
        <f>HYPERLINK("https://svao.dolgi.msk.ru/account/1760175051/", 1760175051)</f>
        <v>1760175051</v>
      </c>
      <c r="D628">
        <v>4657.54</v>
      </c>
    </row>
    <row r="629" spans="1:4" x14ac:dyDescent="0.25">
      <c r="A629" t="s">
        <v>303</v>
      </c>
      <c r="B629" t="s">
        <v>55</v>
      </c>
      <c r="C629" s="2">
        <f>HYPERLINK("https://svao.dolgi.msk.ru/account/1760175078/", 1760175078)</f>
        <v>1760175078</v>
      </c>
      <c r="D629">
        <v>10785</v>
      </c>
    </row>
    <row r="630" spans="1:4" x14ac:dyDescent="0.25">
      <c r="A630" t="s">
        <v>303</v>
      </c>
      <c r="B630" t="s">
        <v>297</v>
      </c>
      <c r="C630" s="2">
        <f>HYPERLINK("https://svao.dolgi.msk.ru/account/1760175086/", 1760175086)</f>
        <v>1760175086</v>
      </c>
      <c r="D630">
        <v>3419.18</v>
      </c>
    </row>
    <row r="631" spans="1:4" x14ac:dyDescent="0.25">
      <c r="A631" t="s">
        <v>310</v>
      </c>
      <c r="B631" t="s">
        <v>41</v>
      </c>
      <c r="C631" s="2">
        <f>HYPERLINK("https://svao.dolgi.msk.ru/account/1760198253/", 1760198253)</f>
        <v>1760198253</v>
      </c>
      <c r="D631">
        <v>5774.29</v>
      </c>
    </row>
    <row r="632" spans="1:4" x14ac:dyDescent="0.25">
      <c r="A632" t="s">
        <v>310</v>
      </c>
      <c r="B632" t="s">
        <v>104</v>
      </c>
      <c r="C632" s="2">
        <f>HYPERLINK("https://svao.dolgi.msk.ru/account/1760198341/", 1760198341)</f>
        <v>1760198341</v>
      </c>
      <c r="D632">
        <v>21198.84</v>
      </c>
    </row>
    <row r="633" spans="1:4" x14ac:dyDescent="0.25">
      <c r="A633" t="s">
        <v>310</v>
      </c>
      <c r="B633" t="s">
        <v>137</v>
      </c>
      <c r="C633" s="2">
        <f>HYPERLINK("https://svao.dolgi.msk.ru/account/1760198384/", 1760198384)</f>
        <v>1760198384</v>
      </c>
      <c r="D633">
        <v>4745.53</v>
      </c>
    </row>
    <row r="634" spans="1:4" x14ac:dyDescent="0.25">
      <c r="A634" t="s">
        <v>310</v>
      </c>
      <c r="B634" t="s">
        <v>9</v>
      </c>
      <c r="C634" s="2">
        <f>HYPERLINK("https://svao.dolgi.msk.ru/account/1760198392/", 1760198392)</f>
        <v>1760198392</v>
      </c>
      <c r="D634">
        <v>4731.3</v>
      </c>
    </row>
    <row r="635" spans="1:4" x14ac:dyDescent="0.25">
      <c r="A635" t="s">
        <v>310</v>
      </c>
      <c r="B635" t="s">
        <v>12</v>
      </c>
      <c r="C635" s="2">
        <f>HYPERLINK("https://svao.dolgi.msk.ru/account/1760198464/", 1760198464)</f>
        <v>1760198464</v>
      </c>
      <c r="D635">
        <v>4180.71</v>
      </c>
    </row>
    <row r="636" spans="1:4" x14ac:dyDescent="0.25">
      <c r="A636" t="s">
        <v>310</v>
      </c>
      <c r="B636" t="s">
        <v>12</v>
      </c>
      <c r="C636" s="2">
        <f>HYPERLINK("https://svao.dolgi.msk.ru/account/1761810168/", 1761810168)</f>
        <v>1761810168</v>
      </c>
      <c r="D636">
        <v>6006.42</v>
      </c>
    </row>
    <row r="637" spans="1:4" x14ac:dyDescent="0.25">
      <c r="A637" t="s">
        <v>310</v>
      </c>
      <c r="B637" t="s">
        <v>13</v>
      </c>
      <c r="C637" s="2">
        <f>HYPERLINK("https://svao.dolgi.msk.ru/account/1760198472/", 1760198472)</f>
        <v>1760198472</v>
      </c>
      <c r="D637">
        <v>2289.94</v>
      </c>
    </row>
    <row r="638" spans="1:4" x14ac:dyDescent="0.25">
      <c r="A638" t="s">
        <v>310</v>
      </c>
      <c r="B638" t="s">
        <v>14</v>
      </c>
      <c r="C638" s="2">
        <f>HYPERLINK("https://svao.dolgi.msk.ru/account/1760198499/", 1760198499)</f>
        <v>1760198499</v>
      </c>
      <c r="D638">
        <v>1687.41</v>
      </c>
    </row>
    <row r="639" spans="1:4" x14ac:dyDescent="0.25">
      <c r="A639" t="s">
        <v>310</v>
      </c>
      <c r="B639" t="s">
        <v>107</v>
      </c>
      <c r="C639" s="2">
        <f>HYPERLINK("https://svao.dolgi.msk.ru/account/1760198528/", 1760198528)</f>
        <v>1760198528</v>
      </c>
      <c r="D639">
        <v>5415.1</v>
      </c>
    </row>
    <row r="640" spans="1:4" x14ac:dyDescent="0.25">
      <c r="A640" t="s">
        <v>310</v>
      </c>
      <c r="B640" t="s">
        <v>17</v>
      </c>
      <c r="C640" s="2">
        <f>HYPERLINK("https://svao.dolgi.msk.ru/account/1761795578/", 1761795578)</f>
        <v>1761795578</v>
      </c>
      <c r="D640">
        <v>1252.81</v>
      </c>
    </row>
    <row r="641" spans="1:4" x14ac:dyDescent="0.25">
      <c r="A641" t="s">
        <v>310</v>
      </c>
      <c r="B641" t="s">
        <v>19</v>
      </c>
      <c r="C641" s="2">
        <f>HYPERLINK("https://svao.dolgi.msk.ru/account/1760198608/", 1760198608)</f>
        <v>1760198608</v>
      </c>
      <c r="D641">
        <v>3182.19</v>
      </c>
    </row>
    <row r="642" spans="1:4" x14ac:dyDescent="0.25">
      <c r="A642" t="s">
        <v>310</v>
      </c>
      <c r="B642" t="s">
        <v>109</v>
      </c>
      <c r="C642" s="2">
        <f>HYPERLINK("https://svao.dolgi.msk.ru/account/1760198616/", 1760198616)</f>
        <v>1760198616</v>
      </c>
      <c r="D642">
        <v>64250.47</v>
      </c>
    </row>
    <row r="643" spans="1:4" x14ac:dyDescent="0.25">
      <c r="A643" t="s">
        <v>310</v>
      </c>
      <c r="B643" t="s">
        <v>20</v>
      </c>
      <c r="C643" s="2">
        <f>HYPERLINK("https://svao.dolgi.msk.ru/account/1760198632/", 1760198632)</f>
        <v>1760198632</v>
      </c>
      <c r="D643">
        <v>3468.81</v>
      </c>
    </row>
    <row r="644" spans="1:4" x14ac:dyDescent="0.25">
      <c r="A644" t="s">
        <v>310</v>
      </c>
      <c r="B644" t="s">
        <v>76</v>
      </c>
      <c r="C644" s="2">
        <f>HYPERLINK("https://svao.dolgi.msk.ru/account/1760198659/", 1760198659)</f>
        <v>1760198659</v>
      </c>
      <c r="D644">
        <v>3775.79</v>
      </c>
    </row>
    <row r="645" spans="1:4" x14ac:dyDescent="0.25">
      <c r="A645" t="s">
        <v>310</v>
      </c>
      <c r="B645" t="s">
        <v>111</v>
      </c>
      <c r="C645" s="2">
        <f>HYPERLINK("https://svao.dolgi.msk.ru/account/1760198683/", 1760198683)</f>
        <v>1760198683</v>
      </c>
      <c r="D645">
        <v>11089.32</v>
      </c>
    </row>
    <row r="646" spans="1:4" x14ac:dyDescent="0.25">
      <c r="A646" t="s">
        <v>310</v>
      </c>
      <c r="B646" t="s">
        <v>77</v>
      </c>
      <c r="C646" s="2">
        <f>HYPERLINK("https://svao.dolgi.msk.ru/account/1760198747/", 1760198747)</f>
        <v>1760198747</v>
      </c>
      <c r="D646">
        <v>4831.4399999999996</v>
      </c>
    </row>
    <row r="647" spans="1:4" x14ac:dyDescent="0.25">
      <c r="A647" t="s">
        <v>310</v>
      </c>
      <c r="B647" t="s">
        <v>22</v>
      </c>
      <c r="C647" s="2">
        <f>HYPERLINK("https://svao.dolgi.msk.ru/account/1760198771/", 1760198771)</f>
        <v>1760198771</v>
      </c>
      <c r="D647">
        <v>3422.31</v>
      </c>
    </row>
    <row r="648" spans="1:4" x14ac:dyDescent="0.25">
      <c r="A648" t="s">
        <v>310</v>
      </c>
      <c r="B648" t="s">
        <v>128</v>
      </c>
      <c r="C648" s="2">
        <f>HYPERLINK("https://svao.dolgi.msk.ru/account/1760199045/", 1760199045)</f>
        <v>1760199045</v>
      </c>
      <c r="D648">
        <v>16488.52</v>
      </c>
    </row>
    <row r="649" spans="1:4" x14ac:dyDescent="0.25">
      <c r="A649" t="s">
        <v>310</v>
      </c>
      <c r="B649" t="s">
        <v>132</v>
      </c>
      <c r="C649" s="2">
        <f>HYPERLINK("https://svao.dolgi.msk.ru/account/1760199088/", 1760199088)</f>
        <v>1760199088</v>
      </c>
      <c r="D649">
        <v>3917.75</v>
      </c>
    </row>
    <row r="650" spans="1:4" x14ac:dyDescent="0.25">
      <c r="A650" t="s">
        <v>310</v>
      </c>
      <c r="B650" t="s">
        <v>133</v>
      </c>
      <c r="C650" s="2">
        <f>HYPERLINK("https://svao.dolgi.msk.ru/account/1760199109/", 1760199109)</f>
        <v>1760199109</v>
      </c>
      <c r="D650">
        <v>4903.08</v>
      </c>
    </row>
    <row r="651" spans="1:4" x14ac:dyDescent="0.25">
      <c r="A651" t="s">
        <v>310</v>
      </c>
      <c r="B651" t="s">
        <v>121</v>
      </c>
      <c r="C651" s="2">
        <f>HYPERLINK("https://svao.dolgi.msk.ru/account/1760199168/", 1760199168)</f>
        <v>1760199168</v>
      </c>
      <c r="D651">
        <v>4963.63</v>
      </c>
    </row>
    <row r="652" spans="1:4" x14ac:dyDescent="0.25">
      <c r="A652" t="s">
        <v>310</v>
      </c>
      <c r="B652" t="s">
        <v>139</v>
      </c>
      <c r="C652" s="2">
        <f>HYPERLINK("https://svao.dolgi.msk.ru/account/1760199184/", 1760199184)</f>
        <v>1760199184</v>
      </c>
      <c r="D652">
        <v>15600.93</v>
      </c>
    </row>
    <row r="653" spans="1:4" x14ac:dyDescent="0.25">
      <c r="A653" t="s">
        <v>310</v>
      </c>
      <c r="B653" t="s">
        <v>28</v>
      </c>
      <c r="C653" s="2">
        <f>HYPERLINK("https://svao.dolgi.msk.ru/account/1760199192/", 1760199192)</f>
        <v>1760199192</v>
      </c>
      <c r="D653">
        <v>8638.48</v>
      </c>
    </row>
    <row r="654" spans="1:4" x14ac:dyDescent="0.25">
      <c r="A654" t="s">
        <v>310</v>
      </c>
      <c r="B654" t="s">
        <v>98</v>
      </c>
      <c r="C654" s="2">
        <f>HYPERLINK("https://svao.dolgi.msk.ru/account/1760199299/", 1760199299)</f>
        <v>1760199299</v>
      </c>
      <c r="D654">
        <v>5404.05</v>
      </c>
    </row>
    <row r="655" spans="1:4" x14ac:dyDescent="0.25">
      <c r="A655" t="s">
        <v>310</v>
      </c>
      <c r="B655" t="s">
        <v>311</v>
      </c>
      <c r="C655" s="2">
        <f>HYPERLINK("https://svao.dolgi.msk.ru/account/1760199352/", 1760199352)</f>
        <v>1760199352</v>
      </c>
      <c r="D655">
        <v>9445.7800000000007</v>
      </c>
    </row>
    <row r="656" spans="1:4" x14ac:dyDescent="0.25">
      <c r="A656" t="s">
        <v>310</v>
      </c>
      <c r="B656" t="s">
        <v>135</v>
      </c>
      <c r="C656" s="2">
        <f>HYPERLINK("https://svao.dolgi.msk.ru/account/1760199416/", 1760199416)</f>
        <v>1760199416</v>
      </c>
      <c r="D656">
        <v>4170.25</v>
      </c>
    </row>
    <row r="657" spans="1:4" x14ac:dyDescent="0.25">
      <c r="A657" t="s">
        <v>310</v>
      </c>
      <c r="B657" t="s">
        <v>36</v>
      </c>
      <c r="C657" s="2">
        <f>HYPERLINK("https://svao.dolgi.msk.ru/account/1760199467/", 1760199467)</f>
        <v>1760199467</v>
      </c>
      <c r="D657">
        <v>4496.62</v>
      </c>
    </row>
    <row r="658" spans="1:4" x14ac:dyDescent="0.25">
      <c r="A658" t="s">
        <v>310</v>
      </c>
      <c r="B658" t="s">
        <v>38</v>
      </c>
      <c r="C658" s="2">
        <f>HYPERLINK("https://svao.dolgi.msk.ru/account/1760199512/", 1760199512)</f>
        <v>1760199512</v>
      </c>
      <c r="D658">
        <v>3210.88</v>
      </c>
    </row>
    <row r="659" spans="1:4" x14ac:dyDescent="0.25">
      <c r="A659" t="s">
        <v>310</v>
      </c>
      <c r="B659" t="s">
        <v>142</v>
      </c>
      <c r="C659" s="2">
        <f>HYPERLINK("https://svao.dolgi.msk.ru/account/1760199619/", 1760199619)</f>
        <v>1760199619</v>
      </c>
      <c r="D659">
        <v>408.58</v>
      </c>
    </row>
    <row r="660" spans="1:4" x14ac:dyDescent="0.25">
      <c r="A660" t="s">
        <v>310</v>
      </c>
      <c r="B660" t="s">
        <v>46</v>
      </c>
      <c r="C660" s="2">
        <f>HYPERLINK("https://svao.dolgi.msk.ru/account/1760199715/", 1760199715)</f>
        <v>1760199715</v>
      </c>
      <c r="D660">
        <v>4226.84</v>
      </c>
    </row>
    <row r="661" spans="1:4" x14ac:dyDescent="0.25">
      <c r="A661" t="s">
        <v>310</v>
      </c>
      <c r="B661" t="s">
        <v>145</v>
      </c>
      <c r="C661" s="2">
        <f>HYPERLINK("https://svao.dolgi.msk.ru/account/1760199723/", 1760199723)</f>
        <v>1760199723</v>
      </c>
      <c r="D661">
        <v>6005.89</v>
      </c>
    </row>
    <row r="662" spans="1:4" x14ac:dyDescent="0.25">
      <c r="A662" t="s">
        <v>310</v>
      </c>
      <c r="B662" t="s">
        <v>306</v>
      </c>
      <c r="C662" s="2">
        <f>HYPERLINK("https://svao.dolgi.msk.ru/account/1760199889/", 1760199889)</f>
        <v>1760199889</v>
      </c>
      <c r="D662">
        <v>4291.3599999999997</v>
      </c>
    </row>
    <row r="663" spans="1:4" x14ac:dyDescent="0.25">
      <c r="A663" t="s">
        <v>310</v>
      </c>
      <c r="B663" t="s">
        <v>50</v>
      </c>
      <c r="C663" s="2">
        <f>HYPERLINK("https://svao.dolgi.msk.ru/account/1760199897/", 1760199897)</f>
        <v>1760199897</v>
      </c>
      <c r="D663">
        <v>3371.04</v>
      </c>
    </row>
    <row r="664" spans="1:4" x14ac:dyDescent="0.25">
      <c r="A664" t="s">
        <v>310</v>
      </c>
      <c r="B664" t="s">
        <v>52</v>
      </c>
      <c r="C664" s="2">
        <f>HYPERLINK("https://svao.dolgi.msk.ru/account/1760199942/", 1760199942)</f>
        <v>1760199942</v>
      </c>
      <c r="D664">
        <v>223296.27</v>
      </c>
    </row>
    <row r="665" spans="1:4" x14ac:dyDescent="0.25">
      <c r="A665" t="s">
        <v>310</v>
      </c>
      <c r="B665" t="s">
        <v>307</v>
      </c>
      <c r="C665" s="2">
        <f>HYPERLINK("https://svao.dolgi.msk.ru/account/1760200018/", 1760200018)</f>
        <v>1760200018</v>
      </c>
      <c r="D665">
        <v>4530.37</v>
      </c>
    </row>
    <row r="666" spans="1:4" x14ac:dyDescent="0.25">
      <c r="A666" t="s">
        <v>310</v>
      </c>
      <c r="B666" t="s">
        <v>150</v>
      </c>
      <c r="C666" s="2">
        <f>HYPERLINK("https://svao.dolgi.msk.ru/account/1760200026/", 1760200026)</f>
        <v>1760200026</v>
      </c>
      <c r="D666">
        <v>4604.83</v>
      </c>
    </row>
    <row r="667" spans="1:4" x14ac:dyDescent="0.25">
      <c r="A667" t="s">
        <v>310</v>
      </c>
      <c r="B667" t="s">
        <v>53</v>
      </c>
      <c r="C667" s="2">
        <f>HYPERLINK("https://svao.dolgi.msk.ru/account/1760200085/", 1760200085)</f>
        <v>1760200085</v>
      </c>
      <c r="D667">
        <v>56903.51</v>
      </c>
    </row>
    <row r="668" spans="1:4" x14ac:dyDescent="0.25">
      <c r="A668" t="s">
        <v>310</v>
      </c>
      <c r="B668" t="s">
        <v>55</v>
      </c>
      <c r="C668" s="2">
        <f>HYPERLINK("https://svao.dolgi.msk.ru/account/1760200181/", 1760200181)</f>
        <v>1760200181</v>
      </c>
      <c r="D668">
        <v>6542.57</v>
      </c>
    </row>
    <row r="669" spans="1:4" x14ac:dyDescent="0.25">
      <c r="A669" t="s">
        <v>310</v>
      </c>
      <c r="B669" t="s">
        <v>56</v>
      </c>
      <c r="C669" s="2">
        <f>HYPERLINK("https://svao.dolgi.msk.ru/account/1760200253/", 1760200253)</f>
        <v>1760200253</v>
      </c>
      <c r="D669">
        <v>7171.16</v>
      </c>
    </row>
    <row r="670" spans="1:4" x14ac:dyDescent="0.25">
      <c r="A670" t="s">
        <v>310</v>
      </c>
      <c r="B670" t="s">
        <v>312</v>
      </c>
      <c r="C670" s="2">
        <f>HYPERLINK("https://svao.dolgi.msk.ru/account/1760200296/", 1760200296)</f>
        <v>1760200296</v>
      </c>
      <c r="D670">
        <v>2869.84</v>
      </c>
    </row>
    <row r="671" spans="1:4" x14ac:dyDescent="0.25">
      <c r="A671" t="s">
        <v>313</v>
      </c>
      <c r="B671" t="s">
        <v>101</v>
      </c>
      <c r="C671" s="2">
        <f>HYPERLINK("https://svao.dolgi.msk.ru/account/1760180205/", 1760180205)</f>
        <v>1760180205</v>
      </c>
      <c r="D671">
        <v>6699.62</v>
      </c>
    </row>
    <row r="672" spans="1:4" x14ac:dyDescent="0.25">
      <c r="A672" t="s">
        <v>313</v>
      </c>
      <c r="B672" t="s">
        <v>141</v>
      </c>
      <c r="C672" s="2">
        <f>HYPERLINK("https://svao.dolgi.msk.ru/account/1760180221/", 1760180221)</f>
        <v>1760180221</v>
      </c>
      <c r="D672">
        <v>9635.59</v>
      </c>
    </row>
    <row r="673" spans="1:4" x14ac:dyDescent="0.25">
      <c r="A673" t="s">
        <v>313</v>
      </c>
      <c r="B673" t="s">
        <v>104</v>
      </c>
      <c r="C673" s="2">
        <f>HYPERLINK("https://svao.dolgi.msk.ru/account/1760180272/", 1760180272)</f>
        <v>1760180272</v>
      </c>
      <c r="D673">
        <v>5970.64</v>
      </c>
    </row>
    <row r="674" spans="1:4" x14ac:dyDescent="0.25">
      <c r="A674" t="s">
        <v>313</v>
      </c>
      <c r="B674" t="s">
        <v>75</v>
      </c>
      <c r="C674" s="2">
        <f>HYPERLINK("https://svao.dolgi.msk.ru/account/1760180344/", 1760180344)</f>
        <v>1760180344</v>
      </c>
      <c r="D674">
        <v>12360.66</v>
      </c>
    </row>
    <row r="675" spans="1:4" x14ac:dyDescent="0.25">
      <c r="A675" t="s">
        <v>313</v>
      </c>
      <c r="B675" t="s">
        <v>12</v>
      </c>
      <c r="C675" s="2">
        <f>HYPERLINK("https://svao.dolgi.msk.ru/account/1760180408/", 1760180408)</f>
        <v>1760180408</v>
      </c>
      <c r="D675">
        <v>5511.21</v>
      </c>
    </row>
    <row r="676" spans="1:4" x14ac:dyDescent="0.25">
      <c r="A676" t="s">
        <v>313</v>
      </c>
      <c r="B676" t="s">
        <v>106</v>
      </c>
      <c r="C676" s="2">
        <f>HYPERLINK("https://svao.dolgi.msk.ru/account/1760180432/", 1760180432)</f>
        <v>1760180432</v>
      </c>
      <c r="D676">
        <v>10929.29</v>
      </c>
    </row>
    <row r="677" spans="1:4" x14ac:dyDescent="0.25">
      <c r="A677" t="s">
        <v>313</v>
      </c>
      <c r="B677" t="s">
        <v>17</v>
      </c>
      <c r="C677" s="2">
        <f>HYPERLINK("https://svao.dolgi.msk.ru/account/1760180491/", 1760180491)</f>
        <v>1760180491</v>
      </c>
      <c r="D677">
        <v>8122.84</v>
      </c>
    </row>
    <row r="678" spans="1:4" x14ac:dyDescent="0.25">
      <c r="A678" t="s">
        <v>313</v>
      </c>
      <c r="B678" t="s">
        <v>76</v>
      </c>
      <c r="C678" s="2">
        <f>HYPERLINK("https://svao.dolgi.msk.ru/account/1760180555/", 1760180555)</f>
        <v>1760180555</v>
      </c>
      <c r="D678">
        <v>1242.3</v>
      </c>
    </row>
    <row r="679" spans="1:4" x14ac:dyDescent="0.25">
      <c r="A679" t="s">
        <v>313</v>
      </c>
      <c r="B679" t="s">
        <v>94</v>
      </c>
      <c r="C679" s="2">
        <f>HYPERLINK("https://svao.dolgi.msk.ru/account/1760180619/", 1760180619)</f>
        <v>1760180619</v>
      </c>
      <c r="D679">
        <v>9713.51</v>
      </c>
    </row>
    <row r="680" spans="1:4" x14ac:dyDescent="0.25">
      <c r="A680" t="s">
        <v>313</v>
      </c>
      <c r="B680" t="s">
        <v>112</v>
      </c>
      <c r="C680" s="2">
        <f>HYPERLINK("https://svao.dolgi.msk.ru/account/1760180627/", 1760180627)</f>
        <v>1760180627</v>
      </c>
      <c r="D680">
        <v>19665.830000000002</v>
      </c>
    </row>
    <row r="681" spans="1:4" x14ac:dyDescent="0.25">
      <c r="A681" t="s">
        <v>313</v>
      </c>
      <c r="B681" t="s">
        <v>113</v>
      </c>
      <c r="C681" s="2">
        <f>HYPERLINK("https://svao.dolgi.msk.ru/account/1760180643/", 1760180643)</f>
        <v>1760180643</v>
      </c>
      <c r="D681">
        <v>7154.23</v>
      </c>
    </row>
    <row r="682" spans="1:4" x14ac:dyDescent="0.25">
      <c r="A682" t="s">
        <v>313</v>
      </c>
      <c r="B682" t="s">
        <v>21</v>
      </c>
      <c r="C682" s="2">
        <f>HYPERLINK("https://svao.dolgi.msk.ru/account/1760180651/", 1760180651)</f>
        <v>1760180651</v>
      </c>
      <c r="D682">
        <v>6123.8</v>
      </c>
    </row>
    <row r="683" spans="1:4" x14ac:dyDescent="0.25">
      <c r="A683" t="s">
        <v>313</v>
      </c>
      <c r="B683" t="s">
        <v>114</v>
      </c>
      <c r="C683" s="2">
        <f>HYPERLINK("https://svao.dolgi.msk.ru/account/1760180686/", 1760180686)</f>
        <v>1760180686</v>
      </c>
      <c r="D683">
        <v>10078.58</v>
      </c>
    </row>
    <row r="684" spans="1:4" x14ac:dyDescent="0.25">
      <c r="A684" t="s">
        <v>313</v>
      </c>
      <c r="B684" t="s">
        <v>78</v>
      </c>
      <c r="C684" s="2">
        <f>HYPERLINK("https://svao.dolgi.msk.ru/account/1760180694/", 1760180694)</f>
        <v>1760180694</v>
      </c>
      <c r="D684">
        <v>8750.02</v>
      </c>
    </row>
    <row r="685" spans="1:4" x14ac:dyDescent="0.25">
      <c r="A685" t="s">
        <v>313</v>
      </c>
      <c r="B685" t="s">
        <v>124</v>
      </c>
      <c r="C685" s="2">
        <f>HYPERLINK("https://svao.dolgi.msk.ru/account/1760180731/", 1760180731)</f>
        <v>1760180731</v>
      </c>
      <c r="D685">
        <v>6470.33</v>
      </c>
    </row>
    <row r="686" spans="1:4" x14ac:dyDescent="0.25">
      <c r="A686" t="s">
        <v>313</v>
      </c>
      <c r="B686" t="s">
        <v>115</v>
      </c>
      <c r="C686" s="2">
        <f>HYPERLINK("https://svao.dolgi.msk.ru/account/1760180766/", 1760180766)</f>
        <v>1760180766</v>
      </c>
      <c r="D686">
        <v>4556.0200000000004</v>
      </c>
    </row>
    <row r="687" spans="1:4" x14ac:dyDescent="0.25">
      <c r="A687" t="s">
        <v>313</v>
      </c>
      <c r="B687" t="s">
        <v>314</v>
      </c>
      <c r="C687" s="2">
        <f>HYPERLINK("https://svao.dolgi.msk.ru/account/1760180803/", 1760180803)</f>
        <v>1760180803</v>
      </c>
      <c r="D687">
        <v>8663.39</v>
      </c>
    </row>
    <row r="688" spans="1:4" x14ac:dyDescent="0.25">
      <c r="A688" t="s">
        <v>313</v>
      </c>
      <c r="B688" t="s">
        <v>118</v>
      </c>
      <c r="C688" s="2">
        <f>HYPERLINK("https://svao.dolgi.msk.ru/account/1760180897/", 1760180897)</f>
        <v>1760180897</v>
      </c>
      <c r="D688">
        <v>7365.39</v>
      </c>
    </row>
    <row r="689" spans="1:4" x14ac:dyDescent="0.25">
      <c r="A689" t="s">
        <v>313</v>
      </c>
      <c r="B689" t="s">
        <v>83</v>
      </c>
      <c r="C689" s="2">
        <f>HYPERLINK("https://svao.dolgi.msk.ru/account/1760180993/", 1760180993)</f>
        <v>1760180993</v>
      </c>
      <c r="D689">
        <v>8648.07</v>
      </c>
    </row>
    <row r="690" spans="1:4" x14ac:dyDescent="0.25">
      <c r="A690" t="s">
        <v>313</v>
      </c>
      <c r="B690" t="s">
        <v>121</v>
      </c>
      <c r="C690" s="2">
        <f>HYPERLINK("https://svao.dolgi.msk.ru/account/1760181101/", 1760181101)</f>
        <v>1760181101</v>
      </c>
      <c r="D690">
        <v>11323.83</v>
      </c>
    </row>
    <row r="691" spans="1:4" x14ac:dyDescent="0.25">
      <c r="A691" t="s">
        <v>313</v>
      </c>
      <c r="B691" t="s">
        <v>28</v>
      </c>
      <c r="C691" s="2">
        <f>HYPERLINK("https://svao.dolgi.msk.ru/account/1760181144/", 1760181144)</f>
        <v>1760181144</v>
      </c>
      <c r="D691">
        <v>4378.8100000000004</v>
      </c>
    </row>
    <row r="692" spans="1:4" x14ac:dyDescent="0.25">
      <c r="A692" t="s">
        <v>313</v>
      </c>
      <c r="B692" t="s">
        <v>244</v>
      </c>
      <c r="C692" s="2">
        <f>HYPERLINK("https://svao.dolgi.msk.ru/account/1760181179/", 1760181179)</f>
        <v>1760181179</v>
      </c>
      <c r="D692">
        <v>6364.15</v>
      </c>
    </row>
    <row r="693" spans="1:4" x14ac:dyDescent="0.25">
      <c r="A693" t="s">
        <v>313</v>
      </c>
      <c r="B693" t="s">
        <v>129</v>
      </c>
      <c r="C693" s="2">
        <f>HYPERLINK("https://svao.dolgi.msk.ru/account/1760181187/", 1760181187)</f>
        <v>1760181187</v>
      </c>
      <c r="D693">
        <v>70392.14</v>
      </c>
    </row>
    <row r="694" spans="1:4" x14ac:dyDescent="0.25">
      <c r="A694" t="s">
        <v>313</v>
      </c>
      <c r="B694" t="s">
        <v>30</v>
      </c>
      <c r="C694" s="2">
        <f>HYPERLINK("https://svao.dolgi.msk.ru/account/1760181195/", 1760181195)</f>
        <v>1760181195</v>
      </c>
      <c r="D694">
        <v>8248.2000000000007</v>
      </c>
    </row>
    <row r="695" spans="1:4" x14ac:dyDescent="0.25">
      <c r="A695" t="s">
        <v>313</v>
      </c>
      <c r="B695" t="s">
        <v>97</v>
      </c>
      <c r="C695" s="2">
        <f>HYPERLINK("https://svao.dolgi.msk.ru/account/1760181208/", 1760181208)</f>
        <v>1760181208</v>
      </c>
      <c r="D695">
        <v>14953.5</v>
      </c>
    </row>
    <row r="696" spans="1:4" x14ac:dyDescent="0.25">
      <c r="A696" t="s">
        <v>313</v>
      </c>
      <c r="B696" t="s">
        <v>31</v>
      </c>
      <c r="C696" s="2">
        <f>HYPERLINK("https://svao.dolgi.msk.ru/account/1760181224/", 1760181224)</f>
        <v>1760181224</v>
      </c>
      <c r="D696">
        <v>4845.04</v>
      </c>
    </row>
    <row r="697" spans="1:4" x14ac:dyDescent="0.25">
      <c r="A697" t="s">
        <v>313</v>
      </c>
      <c r="B697" t="s">
        <v>245</v>
      </c>
      <c r="C697" s="2">
        <f>HYPERLINK("https://svao.dolgi.msk.ru/account/1760181267/", 1760181267)</f>
        <v>1760181267</v>
      </c>
      <c r="D697">
        <v>10425.16</v>
      </c>
    </row>
    <row r="698" spans="1:4" x14ac:dyDescent="0.25">
      <c r="A698" t="s">
        <v>313</v>
      </c>
      <c r="B698" t="s">
        <v>99</v>
      </c>
      <c r="C698" s="2">
        <f>HYPERLINK("https://svao.dolgi.msk.ru/account/1760181355/", 1760181355)</f>
        <v>1760181355</v>
      </c>
      <c r="D698">
        <v>7685.5</v>
      </c>
    </row>
    <row r="699" spans="1:4" x14ac:dyDescent="0.25">
      <c r="A699" t="s">
        <v>313</v>
      </c>
      <c r="B699" t="s">
        <v>87</v>
      </c>
      <c r="C699" s="2">
        <f>HYPERLINK("https://svao.dolgi.msk.ru/account/1760181419/", 1760181419)</f>
        <v>1760181419</v>
      </c>
      <c r="D699">
        <v>4888.68</v>
      </c>
    </row>
    <row r="700" spans="1:4" x14ac:dyDescent="0.25">
      <c r="A700" t="s">
        <v>313</v>
      </c>
      <c r="B700" t="s">
        <v>36</v>
      </c>
      <c r="C700" s="2">
        <f>HYPERLINK("https://svao.dolgi.msk.ru/account/1760181427/", 1760181427)</f>
        <v>1760181427</v>
      </c>
      <c r="D700">
        <v>7124.32</v>
      </c>
    </row>
    <row r="701" spans="1:4" x14ac:dyDescent="0.25">
      <c r="A701" t="s">
        <v>313</v>
      </c>
      <c r="B701" t="s">
        <v>37</v>
      </c>
      <c r="C701" s="2">
        <f>HYPERLINK("https://svao.dolgi.msk.ru/account/1760181494/", 1760181494)</f>
        <v>1760181494</v>
      </c>
      <c r="D701">
        <v>4813.3500000000004</v>
      </c>
    </row>
    <row r="702" spans="1:4" x14ac:dyDescent="0.25">
      <c r="A702" t="s">
        <v>313</v>
      </c>
      <c r="B702" t="s">
        <v>38</v>
      </c>
      <c r="C702" s="2">
        <f>HYPERLINK("https://svao.dolgi.msk.ru/account/1760181507/", 1760181507)</f>
        <v>1760181507</v>
      </c>
      <c r="D702">
        <v>17885.080000000002</v>
      </c>
    </row>
    <row r="703" spans="1:4" x14ac:dyDescent="0.25">
      <c r="A703" t="s">
        <v>313</v>
      </c>
      <c r="B703" t="s">
        <v>140</v>
      </c>
      <c r="C703" s="2">
        <f>HYPERLINK("https://svao.dolgi.msk.ru/account/1760181558/", 1760181558)</f>
        <v>1760181558</v>
      </c>
      <c r="D703">
        <v>10906.31</v>
      </c>
    </row>
    <row r="704" spans="1:4" x14ac:dyDescent="0.25">
      <c r="A704" t="s">
        <v>313</v>
      </c>
      <c r="B704" t="s">
        <v>140</v>
      </c>
      <c r="C704" s="2">
        <f>HYPERLINK("https://svao.dolgi.msk.ru/account/1760181574/", 1760181574)</f>
        <v>1760181574</v>
      </c>
      <c r="D704">
        <v>345.86</v>
      </c>
    </row>
    <row r="705" spans="1:4" x14ac:dyDescent="0.25">
      <c r="A705" t="s">
        <v>313</v>
      </c>
      <c r="B705" t="s">
        <v>44</v>
      </c>
      <c r="C705" s="2">
        <f>HYPERLINK("https://svao.dolgi.msk.ru/account/1760181582/", 1760181582)</f>
        <v>1760181582</v>
      </c>
      <c r="D705">
        <v>2676.09</v>
      </c>
    </row>
    <row r="706" spans="1:4" x14ac:dyDescent="0.25">
      <c r="A706" t="s">
        <v>313</v>
      </c>
      <c r="B706" t="s">
        <v>247</v>
      </c>
      <c r="C706" s="2">
        <f>HYPERLINK("https://svao.dolgi.msk.ru/account/1760181638/", 1760181638)</f>
        <v>1760181638</v>
      </c>
      <c r="D706">
        <v>320</v>
      </c>
    </row>
    <row r="707" spans="1:4" x14ac:dyDescent="0.25">
      <c r="A707" t="s">
        <v>313</v>
      </c>
      <c r="B707" t="s">
        <v>305</v>
      </c>
      <c r="C707" s="2">
        <f>HYPERLINK("https://svao.dolgi.msk.ru/account/1760181646/", 1760181646)</f>
        <v>1760181646</v>
      </c>
      <c r="D707">
        <v>6370.71</v>
      </c>
    </row>
    <row r="708" spans="1:4" x14ac:dyDescent="0.25">
      <c r="A708" t="s">
        <v>313</v>
      </c>
      <c r="B708" t="s">
        <v>45</v>
      </c>
      <c r="C708" s="2">
        <f>HYPERLINK("https://svao.dolgi.msk.ru/account/1760181662/", 1760181662)</f>
        <v>1760181662</v>
      </c>
      <c r="D708">
        <v>32009.919999999998</v>
      </c>
    </row>
    <row r="709" spans="1:4" x14ac:dyDescent="0.25">
      <c r="A709" t="s">
        <v>313</v>
      </c>
      <c r="B709" t="s">
        <v>315</v>
      </c>
      <c r="C709" s="2">
        <f>HYPERLINK("https://svao.dolgi.msk.ru/account/1760181697/", 1760181697)</f>
        <v>1760181697</v>
      </c>
      <c r="D709">
        <v>6820.17</v>
      </c>
    </row>
    <row r="710" spans="1:4" x14ac:dyDescent="0.25">
      <c r="A710" t="s">
        <v>313</v>
      </c>
      <c r="B710" t="s">
        <v>301</v>
      </c>
      <c r="C710" s="2">
        <f>HYPERLINK("https://svao.dolgi.msk.ru/account/1760181718/", 1760181718)</f>
        <v>1760181718</v>
      </c>
      <c r="D710">
        <v>8905.26</v>
      </c>
    </row>
    <row r="711" spans="1:4" x14ac:dyDescent="0.25">
      <c r="A711" t="s">
        <v>313</v>
      </c>
      <c r="B711" t="s">
        <v>248</v>
      </c>
      <c r="C711" s="2">
        <f>HYPERLINK("https://svao.dolgi.msk.ru/account/1760181734/", 1760181734)</f>
        <v>1760181734</v>
      </c>
      <c r="D711">
        <v>10884.11</v>
      </c>
    </row>
    <row r="712" spans="1:4" x14ac:dyDescent="0.25">
      <c r="A712" t="s">
        <v>313</v>
      </c>
      <c r="B712" t="s">
        <v>248</v>
      </c>
      <c r="C712" s="2">
        <f>HYPERLINK("https://svao.dolgi.msk.ru/account/1761816084/", 1761816084)</f>
        <v>1761816084</v>
      </c>
      <c r="D712">
        <v>2973.61</v>
      </c>
    </row>
    <row r="713" spans="1:4" x14ac:dyDescent="0.25">
      <c r="A713" t="s">
        <v>313</v>
      </c>
      <c r="B713" t="s">
        <v>46</v>
      </c>
      <c r="C713" s="2">
        <f>HYPERLINK("https://svao.dolgi.msk.ru/account/1760181742/", 1760181742)</f>
        <v>1760181742</v>
      </c>
      <c r="D713">
        <v>6836.27</v>
      </c>
    </row>
    <row r="714" spans="1:4" x14ac:dyDescent="0.25">
      <c r="A714" t="s">
        <v>313</v>
      </c>
      <c r="B714" t="s">
        <v>249</v>
      </c>
      <c r="C714" s="2">
        <f>HYPERLINK("https://svao.dolgi.msk.ru/account/1760181777/", 1760181777)</f>
        <v>1760181777</v>
      </c>
      <c r="D714">
        <v>13863.25</v>
      </c>
    </row>
    <row r="715" spans="1:4" x14ac:dyDescent="0.25">
      <c r="A715" t="s">
        <v>313</v>
      </c>
      <c r="B715" t="s">
        <v>47</v>
      </c>
      <c r="C715" s="2">
        <f>HYPERLINK("https://svao.dolgi.msk.ru/account/1760181814/", 1760181814)</f>
        <v>1760181814</v>
      </c>
      <c r="D715">
        <v>14145.34</v>
      </c>
    </row>
    <row r="716" spans="1:4" x14ac:dyDescent="0.25">
      <c r="A716" t="s">
        <v>313</v>
      </c>
      <c r="B716" t="s">
        <v>146</v>
      </c>
      <c r="C716" s="2">
        <f>HYPERLINK("https://svao.dolgi.msk.ru/account/1760181849/", 1760181849)</f>
        <v>1760181849</v>
      </c>
      <c r="D716">
        <v>320</v>
      </c>
    </row>
    <row r="717" spans="1:4" x14ac:dyDescent="0.25">
      <c r="A717" t="s">
        <v>313</v>
      </c>
      <c r="B717" t="s">
        <v>48</v>
      </c>
      <c r="C717" s="2">
        <f>HYPERLINK("https://svao.dolgi.msk.ru/account/1760181857/", 1760181857)</f>
        <v>1760181857</v>
      </c>
      <c r="D717">
        <v>101.74</v>
      </c>
    </row>
    <row r="718" spans="1:4" x14ac:dyDescent="0.25">
      <c r="A718" t="s">
        <v>313</v>
      </c>
      <c r="B718" t="s">
        <v>49</v>
      </c>
      <c r="C718" s="2">
        <f>HYPERLINK("https://svao.dolgi.msk.ru/account/1760181865/", 1760181865)</f>
        <v>1760181865</v>
      </c>
      <c r="D718">
        <v>7103.57</v>
      </c>
    </row>
    <row r="719" spans="1:4" x14ac:dyDescent="0.25">
      <c r="A719" t="s">
        <v>313</v>
      </c>
      <c r="B719" t="s">
        <v>294</v>
      </c>
      <c r="C719" s="2">
        <f>HYPERLINK("https://svao.dolgi.msk.ru/account/1760181873/", 1760181873)</f>
        <v>1760181873</v>
      </c>
      <c r="D719">
        <v>16784.669999999998</v>
      </c>
    </row>
    <row r="720" spans="1:4" x14ac:dyDescent="0.25">
      <c r="A720" t="s">
        <v>313</v>
      </c>
      <c r="B720" t="s">
        <v>147</v>
      </c>
      <c r="C720" s="2">
        <f>HYPERLINK("https://svao.dolgi.msk.ru/account/1760181881/", 1760181881)</f>
        <v>1760181881</v>
      </c>
      <c r="D720">
        <v>5825.39</v>
      </c>
    </row>
    <row r="721" spans="1:4" x14ac:dyDescent="0.25">
      <c r="A721" t="s">
        <v>313</v>
      </c>
      <c r="B721" t="s">
        <v>306</v>
      </c>
      <c r="C721" s="2">
        <f>HYPERLINK("https://svao.dolgi.msk.ru/account/1760181937/", 1760181937)</f>
        <v>1760181937</v>
      </c>
      <c r="D721">
        <v>4691.93</v>
      </c>
    </row>
    <row r="722" spans="1:4" x14ac:dyDescent="0.25">
      <c r="A722" t="s">
        <v>313</v>
      </c>
      <c r="B722" t="s">
        <v>51</v>
      </c>
      <c r="C722" s="2">
        <f>HYPERLINK("https://svao.dolgi.msk.ru/account/1760181953/", 1760181953)</f>
        <v>1760181953</v>
      </c>
      <c r="D722">
        <v>16686.79</v>
      </c>
    </row>
    <row r="723" spans="1:4" x14ac:dyDescent="0.25">
      <c r="A723" t="s">
        <v>313</v>
      </c>
      <c r="B723" t="s">
        <v>52</v>
      </c>
      <c r="C723" s="2">
        <f>HYPERLINK("https://svao.dolgi.msk.ru/account/1760181996/", 1760181996)</f>
        <v>1760181996</v>
      </c>
      <c r="D723">
        <v>320</v>
      </c>
    </row>
    <row r="724" spans="1:4" x14ac:dyDescent="0.25">
      <c r="A724" t="s">
        <v>313</v>
      </c>
      <c r="B724" t="s">
        <v>316</v>
      </c>
      <c r="C724" s="2">
        <f>HYPERLINK("https://svao.dolgi.msk.ru/account/1760182008/", 1760182008)</f>
        <v>1760182008</v>
      </c>
      <c r="D724">
        <v>10831.69</v>
      </c>
    </row>
    <row r="725" spans="1:4" x14ac:dyDescent="0.25">
      <c r="A725" t="s">
        <v>313</v>
      </c>
      <c r="B725" t="s">
        <v>307</v>
      </c>
      <c r="C725" s="2">
        <f>HYPERLINK("https://svao.dolgi.msk.ru/account/1760182059/", 1760182059)</f>
        <v>1760182059</v>
      </c>
      <c r="D725">
        <v>2412.58</v>
      </c>
    </row>
    <row r="726" spans="1:4" x14ac:dyDescent="0.25">
      <c r="A726" t="s">
        <v>313</v>
      </c>
      <c r="B726" t="s">
        <v>150</v>
      </c>
      <c r="C726" s="2">
        <f>HYPERLINK("https://svao.dolgi.msk.ru/account/1760182067/", 1760182067)</f>
        <v>1760182067</v>
      </c>
      <c r="D726">
        <v>213.2</v>
      </c>
    </row>
    <row r="727" spans="1:4" x14ac:dyDescent="0.25">
      <c r="A727" t="s">
        <v>313</v>
      </c>
      <c r="B727" t="s">
        <v>151</v>
      </c>
      <c r="C727" s="2">
        <f>HYPERLINK("https://svao.dolgi.msk.ru/account/1760271748/", 1760271748)</f>
        <v>1760271748</v>
      </c>
      <c r="D727">
        <v>584.41999999999996</v>
      </c>
    </row>
    <row r="728" spans="1:4" x14ac:dyDescent="0.25">
      <c r="A728" t="s">
        <v>313</v>
      </c>
      <c r="B728" t="s">
        <v>151</v>
      </c>
      <c r="C728" s="2">
        <f>HYPERLINK("https://svao.dolgi.msk.ru/account/1760271756/", 1760271756)</f>
        <v>1760271756</v>
      </c>
      <c r="D728">
        <v>103.41</v>
      </c>
    </row>
    <row r="729" spans="1:4" x14ac:dyDescent="0.25">
      <c r="A729" t="s">
        <v>313</v>
      </c>
      <c r="B729" t="s">
        <v>151</v>
      </c>
      <c r="C729" s="2">
        <f>HYPERLINK("https://svao.dolgi.msk.ru/account/1760271924/", 1760271924)</f>
        <v>1760271924</v>
      </c>
      <c r="D729">
        <v>19529.3</v>
      </c>
    </row>
    <row r="730" spans="1:4" x14ac:dyDescent="0.25">
      <c r="A730" t="s">
        <v>313</v>
      </c>
      <c r="B730" t="s">
        <v>317</v>
      </c>
      <c r="C730" s="2">
        <f>HYPERLINK("https://svao.dolgi.msk.ru/account/1760182104/", 1760182104)</f>
        <v>1760182104</v>
      </c>
      <c r="D730">
        <v>1337.29</v>
      </c>
    </row>
    <row r="731" spans="1:4" x14ac:dyDescent="0.25">
      <c r="A731" t="s">
        <v>313</v>
      </c>
      <c r="B731" t="s">
        <v>309</v>
      </c>
      <c r="C731" s="2">
        <f>HYPERLINK("https://svao.dolgi.msk.ru/account/1760182227/", 1760182227)</f>
        <v>1760182227</v>
      </c>
      <c r="D731">
        <v>12959.46</v>
      </c>
    </row>
    <row r="732" spans="1:4" x14ac:dyDescent="0.25">
      <c r="A732" t="s">
        <v>313</v>
      </c>
      <c r="B732" t="s">
        <v>254</v>
      </c>
      <c r="C732" s="2">
        <f>HYPERLINK("https://svao.dolgi.msk.ru/account/1760182235/", 1760182235)</f>
        <v>1760182235</v>
      </c>
      <c r="D732">
        <v>320</v>
      </c>
    </row>
    <row r="733" spans="1:4" x14ac:dyDescent="0.25">
      <c r="A733" t="s">
        <v>313</v>
      </c>
      <c r="B733" t="s">
        <v>318</v>
      </c>
      <c r="C733" s="2">
        <f>HYPERLINK("https://svao.dolgi.msk.ru/account/1760182243/", 1760182243)</f>
        <v>1760182243</v>
      </c>
      <c r="D733">
        <v>1663.44</v>
      </c>
    </row>
    <row r="734" spans="1:4" x14ac:dyDescent="0.25">
      <c r="A734" t="s">
        <v>319</v>
      </c>
      <c r="B734" t="s">
        <v>6</v>
      </c>
      <c r="C734" s="2">
        <f>HYPERLINK("https://svao.dolgi.msk.ru/account/1760085283/", 1760085283)</f>
        <v>1760085283</v>
      </c>
      <c r="D734">
        <v>8766.6</v>
      </c>
    </row>
    <row r="735" spans="1:4" x14ac:dyDescent="0.25">
      <c r="A735" t="s">
        <v>319</v>
      </c>
      <c r="B735" t="s">
        <v>5</v>
      </c>
      <c r="C735" s="2">
        <f>HYPERLINK("https://svao.dolgi.msk.ru/account/1760085304/", 1760085304)</f>
        <v>1760085304</v>
      </c>
      <c r="D735">
        <v>3608.07</v>
      </c>
    </row>
    <row r="736" spans="1:4" x14ac:dyDescent="0.25">
      <c r="A736" t="s">
        <v>319</v>
      </c>
      <c r="B736" t="s">
        <v>73</v>
      </c>
      <c r="C736" s="2">
        <f>HYPERLINK("https://svao.dolgi.msk.ru/account/1760085371/", 1760085371)</f>
        <v>1760085371</v>
      </c>
      <c r="D736">
        <v>23636.49</v>
      </c>
    </row>
    <row r="737" spans="1:4" x14ac:dyDescent="0.25">
      <c r="A737" t="s">
        <v>319</v>
      </c>
      <c r="B737" t="s">
        <v>74</v>
      </c>
      <c r="C737" s="2">
        <f>HYPERLINK("https://svao.dolgi.msk.ru/account/1760085427/", 1760085427)</f>
        <v>1760085427</v>
      </c>
      <c r="D737">
        <v>15898.25</v>
      </c>
    </row>
    <row r="738" spans="1:4" x14ac:dyDescent="0.25">
      <c r="A738" t="s">
        <v>319</v>
      </c>
      <c r="B738" t="s">
        <v>9</v>
      </c>
      <c r="C738" s="2">
        <f>HYPERLINK("https://svao.dolgi.msk.ru/account/1760085443/", 1760085443)</f>
        <v>1760085443</v>
      </c>
      <c r="D738">
        <v>18024.53</v>
      </c>
    </row>
    <row r="739" spans="1:4" x14ac:dyDescent="0.25">
      <c r="A739" t="s">
        <v>319</v>
      </c>
      <c r="B739" t="s">
        <v>91</v>
      </c>
      <c r="C739" s="2">
        <f>HYPERLINK("https://svao.dolgi.msk.ru/account/1760085478/", 1760085478)</f>
        <v>1760085478</v>
      </c>
      <c r="D739">
        <v>5083.43</v>
      </c>
    </row>
    <row r="740" spans="1:4" x14ac:dyDescent="0.25">
      <c r="A740" t="s">
        <v>319</v>
      </c>
      <c r="B740" t="s">
        <v>12</v>
      </c>
      <c r="C740" s="2">
        <f>HYPERLINK("https://svao.dolgi.msk.ru/account/1760085515/", 1760085515)</f>
        <v>1760085515</v>
      </c>
      <c r="D740">
        <v>10100.89</v>
      </c>
    </row>
    <row r="741" spans="1:4" x14ac:dyDescent="0.25">
      <c r="A741" t="s">
        <v>319</v>
      </c>
      <c r="B741" t="s">
        <v>15</v>
      </c>
      <c r="C741" s="2">
        <f>HYPERLINK("https://svao.dolgi.msk.ru/account/1760085574/", 1760085574)</f>
        <v>1760085574</v>
      </c>
      <c r="D741">
        <v>3968.59</v>
      </c>
    </row>
    <row r="742" spans="1:4" x14ac:dyDescent="0.25">
      <c r="A742" t="s">
        <v>319</v>
      </c>
      <c r="B742" t="s">
        <v>16</v>
      </c>
      <c r="C742" s="2">
        <f>HYPERLINK("https://svao.dolgi.msk.ru/account/1760085603/", 1760085603)</f>
        <v>1760085603</v>
      </c>
      <c r="D742">
        <v>5043.08</v>
      </c>
    </row>
    <row r="743" spans="1:4" x14ac:dyDescent="0.25">
      <c r="A743" t="s">
        <v>319</v>
      </c>
      <c r="B743" t="s">
        <v>17</v>
      </c>
      <c r="C743" s="2">
        <f>HYPERLINK("https://svao.dolgi.msk.ru/account/1760085611/", 1760085611)</f>
        <v>1760085611</v>
      </c>
      <c r="D743">
        <v>540.58000000000004</v>
      </c>
    </row>
    <row r="744" spans="1:4" x14ac:dyDescent="0.25">
      <c r="A744" t="s">
        <v>319</v>
      </c>
      <c r="B744" t="s">
        <v>18</v>
      </c>
      <c r="C744" s="2">
        <f>HYPERLINK("https://svao.dolgi.msk.ru/account/1760085638/", 1760085638)</f>
        <v>1760085638</v>
      </c>
      <c r="D744">
        <v>7713.85</v>
      </c>
    </row>
    <row r="745" spans="1:4" x14ac:dyDescent="0.25">
      <c r="A745" t="s">
        <v>319</v>
      </c>
      <c r="B745" t="s">
        <v>19</v>
      </c>
      <c r="C745" s="2">
        <f>HYPERLINK("https://svao.dolgi.msk.ru/account/1760085646/", 1760085646)</f>
        <v>1760085646</v>
      </c>
      <c r="D745">
        <v>7441.68</v>
      </c>
    </row>
    <row r="746" spans="1:4" x14ac:dyDescent="0.25">
      <c r="A746" t="s">
        <v>319</v>
      </c>
      <c r="B746" t="s">
        <v>109</v>
      </c>
      <c r="C746" s="2">
        <f>HYPERLINK("https://svao.dolgi.msk.ru/account/1760085654/", 1760085654)</f>
        <v>1760085654</v>
      </c>
      <c r="D746">
        <v>5559.43</v>
      </c>
    </row>
    <row r="747" spans="1:4" x14ac:dyDescent="0.25">
      <c r="A747" t="s">
        <v>319</v>
      </c>
      <c r="B747" t="s">
        <v>92</v>
      </c>
      <c r="C747" s="2">
        <f>HYPERLINK("https://svao.dolgi.msk.ru/account/1760085718/", 1760085718)</f>
        <v>1760085718</v>
      </c>
      <c r="D747">
        <v>5174.2</v>
      </c>
    </row>
    <row r="748" spans="1:4" x14ac:dyDescent="0.25">
      <c r="A748" t="s">
        <v>319</v>
      </c>
      <c r="B748" t="s">
        <v>93</v>
      </c>
      <c r="C748" s="2">
        <f>HYPERLINK("https://svao.dolgi.msk.ru/account/1760085726/", 1760085726)</f>
        <v>1760085726</v>
      </c>
      <c r="D748">
        <v>99002.18</v>
      </c>
    </row>
    <row r="749" spans="1:4" x14ac:dyDescent="0.25">
      <c r="A749" t="s">
        <v>319</v>
      </c>
      <c r="B749" t="s">
        <v>113</v>
      </c>
      <c r="C749" s="2">
        <f>HYPERLINK("https://svao.dolgi.msk.ru/account/1760085777/", 1760085777)</f>
        <v>1760085777</v>
      </c>
      <c r="D749">
        <v>7211.86</v>
      </c>
    </row>
    <row r="750" spans="1:4" x14ac:dyDescent="0.25">
      <c r="A750" t="s">
        <v>319</v>
      </c>
      <c r="B750" t="s">
        <v>114</v>
      </c>
      <c r="C750" s="2">
        <f>HYPERLINK("https://svao.dolgi.msk.ru/account/1760085929/", 1760085929)</f>
        <v>1760085929</v>
      </c>
      <c r="D750">
        <v>85256.46</v>
      </c>
    </row>
    <row r="751" spans="1:4" x14ac:dyDescent="0.25">
      <c r="A751" t="s">
        <v>319</v>
      </c>
      <c r="B751" t="s">
        <v>78</v>
      </c>
      <c r="C751" s="2">
        <f>HYPERLINK("https://svao.dolgi.msk.ru/account/1760085814/", 1760085814)</f>
        <v>1760085814</v>
      </c>
      <c r="D751">
        <v>36557.279999999999</v>
      </c>
    </row>
    <row r="752" spans="1:4" x14ac:dyDescent="0.25">
      <c r="A752" t="s">
        <v>319</v>
      </c>
      <c r="B752" t="s">
        <v>22</v>
      </c>
      <c r="C752" s="2">
        <f>HYPERLINK("https://svao.dolgi.msk.ru/account/1760085849/", 1760085849)</f>
        <v>1760085849</v>
      </c>
      <c r="D752">
        <v>7919.54</v>
      </c>
    </row>
    <row r="753" spans="1:4" x14ac:dyDescent="0.25">
      <c r="A753" t="s">
        <v>319</v>
      </c>
      <c r="B753" t="s">
        <v>115</v>
      </c>
      <c r="C753" s="2">
        <f>HYPERLINK("https://svao.dolgi.msk.ru/account/1760085945/", 1760085945)</f>
        <v>1760085945</v>
      </c>
      <c r="D753">
        <v>4265.74</v>
      </c>
    </row>
    <row r="754" spans="1:4" x14ac:dyDescent="0.25">
      <c r="A754" t="s">
        <v>319</v>
      </c>
      <c r="B754" t="s">
        <v>320</v>
      </c>
      <c r="C754" s="2">
        <f>HYPERLINK("https://svao.dolgi.msk.ru/account/1760085953/", 1760085953)</f>
        <v>1760085953</v>
      </c>
      <c r="D754">
        <v>7840.03</v>
      </c>
    </row>
    <row r="755" spans="1:4" x14ac:dyDescent="0.25">
      <c r="A755" t="s">
        <v>319</v>
      </c>
      <c r="B755" t="s">
        <v>131</v>
      </c>
      <c r="C755" s="2">
        <f>HYPERLINK("https://svao.dolgi.msk.ru/account/1760086016/", 1760086016)</f>
        <v>1760086016</v>
      </c>
      <c r="D755">
        <v>11696.43</v>
      </c>
    </row>
    <row r="756" spans="1:4" x14ac:dyDescent="0.25">
      <c r="A756" t="s">
        <v>319</v>
      </c>
      <c r="B756" t="s">
        <v>80</v>
      </c>
      <c r="C756" s="2">
        <f>HYPERLINK("https://svao.dolgi.msk.ru/account/1760086059/", 1760086059)</f>
        <v>1760086059</v>
      </c>
      <c r="D756">
        <v>2101.61</v>
      </c>
    </row>
    <row r="757" spans="1:4" x14ac:dyDescent="0.25">
      <c r="A757" t="s">
        <v>319</v>
      </c>
      <c r="B757" t="s">
        <v>127</v>
      </c>
      <c r="C757" s="2">
        <f>HYPERLINK("https://svao.dolgi.msk.ru/account/1760086075/", 1760086075)</f>
        <v>1760086075</v>
      </c>
      <c r="D757">
        <v>10006.790000000001</v>
      </c>
    </row>
    <row r="758" spans="1:4" x14ac:dyDescent="0.25">
      <c r="A758" t="s">
        <v>319</v>
      </c>
      <c r="B758" t="s">
        <v>119</v>
      </c>
      <c r="C758" s="2">
        <f>HYPERLINK("https://svao.dolgi.msk.ru/account/1760086091/", 1760086091)</f>
        <v>1760086091</v>
      </c>
      <c r="D758">
        <v>2361.7199999999998</v>
      </c>
    </row>
    <row r="759" spans="1:4" x14ac:dyDescent="0.25">
      <c r="A759" t="s">
        <v>319</v>
      </c>
      <c r="B759" t="s">
        <v>120</v>
      </c>
      <c r="C759" s="2">
        <f>HYPERLINK("https://svao.dolgi.msk.ru/account/1760086104/", 1760086104)</f>
        <v>1760086104</v>
      </c>
      <c r="D759">
        <v>90854.73</v>
      </c>
    </row>
    <row r="760" spans="1:4" x14ac:dyDescent="0.25">
      <c r="A760" t="s">
        <v>319</v>
      </c>
      <c r="B760" t="s">
        <v>82</v>
      </c>
      <c r="C760" s="2">
        <f>HYPERLINK("https://svao.dolgi.msk.ru/account/1760086112/", 1760086112)</f>
        <v>1760086112</v>
      </c>
      <c r="D760">
        <v>6269.07</v>
      </c>
    </row>
    <row r="761" spans="1:4" x14ac:dyDescent="0.25">
      <c r="A761" t="s">
        <v>319</v>
      </c>
      <c r="B761" t="s">
        <v>83</v>
      </c>
      <c r="C761" s="2">
        <f>HYPERLINK("https://svao.dolgi.msk.ru/account/1760086155/", 1760086155)</f>
        <v>1760086155</v>
      </c>
      <c r="D761">
        <v>11546.3</v>
      </c>
    </row>
    <row r="762" spans="1:4" x14ac:dyDescent="0.25">
      <c r="A762" t="s">
        <v>319</v>
      </c>
      <c r="B762" t="s">
        <v>132</v>
      </c>
      <c r="C762" s="2">
        <f>HYPERLINK("https://svao.dolgi.msk.ru/account/1760086198/", 1760086198)</f>
        <v>1760086198</v>
      </c>
      <c r="D762">
        <v>22951.1</v>
      </c>
    </row>
    <row r="763" spans="1:4" x14ac:dyDescent="0.25">
      <c r="A763" t="s">
        <v>319</v>
      </c>
      <c r="B763" t="s">
        <v>26</v>
      </c>
      <c r="C763" s="2">
        <f>HYPERLINK("https://svao.dolgi.msk.ru/account/1760086219/", 1760086219)</f>
        <v>1760086219</v>
      </c>
      <c r="D763">
        <v>6845.35</v>
      </c>
    </row>
    <row r="764" spans="1:4" x14ac:dyDescent="0.25">
      <c r="A764" t="s">
        <v>319</v>
      </c>
      <c r="B764" t="s">
        <v>139</v>
      </c>
      <c r="C764" s="2">
        <f>HYPERLINK("https://svao.dolgi.msk.ru/account/1760086331/", 1760086331)</f>
        <v>1760086331</v>
      </c>
      <c r="D764">
        <v>5810.4</v>
      </c>
    </row>
    <row r="765" spans="1:4" x14ac:dyDescent="0.25">
      <c r="A765" t="s">
        <v>319</v>
      </c>
      <c r="B765" t="s">
        <v>31</v>
      </c>
      <c r="C765" s="2">
        <f>HYPERLINK("https://svao.dolgi.msk.ru/account/1760086438/", 1760086438)</f>
        <v>1760086438</v>
      </c>
      <c r="D765">
        <v>1447.73</v>
      </c>
    </row>
    <row r="766" spans="1:4" x14ac:dyDescent="0.25">
      <c r="A766" t="s">
        <v>319</v>
      </c>
      <c r="B766" t="s">
        <v>245</v>
      </c>
      <c r="C766" s="2">
        <f>HYPERLINK("https://svao.dolgi.msk.ru/account/1760086462/", 1760086462)</f>
        <v>1760086462</v>
      </c>
      <c r="D766">
        <v>42987.32</v>
      </c>
    </row>
    <row r="767" spans="1:4" x14ac:dyDescent="0.25">
      <c r="A767" t="s">
        <v>319</v>
      </c>
      <c r="B767" t="s">
        <v>85</v>
      </c>
      <c r="C767" s="2">
        <f>HYPERLINK("https://svao.dolgi.msk.ru/account/1760086497/", 1760086497)</f>
        <v>1760086497</v>
      </c>
      <c r="D767">
        <v>5562.89</v>
      </c>
    </row>
    <row r="768" spans="1:4" x14ac:dyDescent="0.25">
      <c r="A768" t="s">
        <v>319</v>
      </c>
      <c r="B768" t="s">
        <v>34</v>
      </c>
      <c r="C768" s="2">
        <f>HYPERLINK("https://svao.dolgi.msk.ru/account/1760086526/", 1760086526)</f>
        <v>1760086526</v>
      </c>
      <c r="D768">
        <v>4799.29</v>
      </c>
    </row>
    <row r="769" spans="1:4" x14ac:dyDescent="0.25">
      <c r="A769" t="s">
        <v>319</v>
      </c>
      <c r="B769" t="s">
        <v>99</v>
      </c>
      <c r="C769" s="2">
        <f>HYPERLINK("https://svao.dolgi.msk.ru/account/1760086569/", 1760086569)</f>
        <v>1760086569</v>
      </c>
      <c r="D769">
        <v>318097.78000000003</v>
      </c>
    </row>
    <row r="770" spans="1:4" x14ac:dyDescent="0.25">
      <c r="A770" t="s">
        <v>319</v>
      </c>
      <c r="B770" t="s">
        <v>36</v>
      </c>
      <c r="C770" s="2">
        <f>HYPERLINK("https://svao.dolgi.msk.ru/account/1760086614/", 1760086614)</f>
        <v>1760086614</v>
      </c>
      <c r="D770">
        <v>10108.99</v>
      </c>
    </row>
    <row r="771" spans="1:4" x14ac:dyDescent="0.25">
      <c r="A771" t="s">
        <v>319</v>
      </c>
      <c r="B771" t="s">
        <v>293</v>
      </c>
      <c r="C771" s="2">
        <f>HYPERLINK("https://svao.dolgi.msk.ru/account/1760086649/", 1760086649)</f>
        <v>1760086649</v>
      </c>
      <c r="D771">
        <v>273759.24</v>
      </c>
    </row>
    <row r="772" spans="1:4" x14ac:dyDescent="0.25">
      <c r="A772" t="s">
        <v>319</v>
      </c>
      <c r="B772" t="s">
        <v>304</v>
      </c>
      <c r="C772" s="2">
        <f>HYPERLINK("https://svao.dolgi.msk.ru/account/1760086657/", 1760086657)</f>
        <v>1760086657</v>
      </c>
      <c r="D772">
        <v>8015.79</v>
      </c>
    </row>
    <row r="773" spans="1:4" x14ac:dyDescent="0.25">
      <c r="A773" t="s">
        <v>319</v>
      </c>
      <c r="B773" t="s">
        <v>38</v>
      </c>
      <c r="C773" s="2">
        <f>HYPERLINK("https://svao.dolgi.msk.ru/account/1760086673/", 1760086673)</f>
        <v>1760086673</v>
      </c>
      <c r="D773">
        <v>7715.16</v>
      </c>
    </row>
    <row r="774" spans="1:4" x14ac:dyDescent="0.25">
      <c r="A774" t="s">
        <v>319</v>
      </c>
      <c r="B774" t="s">
        <v>43</v>
      </c>
      <c r="C774" s="2">
        <f>HYPERLINK("https://svao.dolgi.msk.ru/account/1760086745/", 1760086745)</f>
        <v>1760086745</v>
      </c>
      <c r="D774">
        <v>5779.46</v>
      </c>
    </row>
    <row r="775" spans="1:4" x14ac:dyDescent="0.25">
      <c r="A775" t="s">
        <v>319</v>
      </c>
      <c r="B775" t="s">
        <v>140</v>
      </c>
      <c r="C775" s="2">
        <f>HYPERLINK("https://svao.dolgi.msk.ru/account/1760086753/", 1760086753)</f>
        <v>1760086753</v>
      </c>
      <c r="D775">
        <v>21156.81</v>
      </c>
    </row>
    <row r="776" spans="1:4" x14ac:dyDescent="0.25">
      <c r="A776" t="s">
        <v>319</v>
      </c>
      <c r="B776" t="s">
        <v>142</v>
      </c>
      <c r="C776" s="2">
        <f>HYPERLINK("https://svao.dolgi.msk.ru/account/1760086796/", 1760086796)</f>
        <v>1760086796</v>
      </c>
      <c r="D776">
        <v>623830.77</v>
      </c>
    </row>
    <row r="777" spans="1:4" x14ac:dyDescent="0.25">
      <c r="A777" t="s">
        <v>319</v>
      </c>
      <c r="B777" t="s">
        <v>142</v>
      </c>
      <c r="C777" s="2">
        <f>HYPERLINK("https://svao.dolgi.msk.ru/account/1761790515/", 1761790515)</f>
        <v>1761790515</v>
      </c>
      <c r="D777">
        <v>18862.759999999998</v>
      </c>
    </row>
    <row r="778" spans="1:4" x14ac:dyDescent="0.25">
      <c r="A778" t="s">
        <v>321</v>
      </c>
      <c r="B778" t="s">
        <v>42</v>
      </c>
      <c r="C778" s="2">
        <f>HYPERLINK("https://svao.dolgi.msk.ru/account/1760020383/", 1760020383)</f>
        <v>1760020383</v>
      </c>
      <c r="D778">
        <v>316.77</v>
      </c>
    </row>
    <row r="779" spans="1:4" x14ac:dyDescent="0.25">
      <c r="A779" t="s">
        <v>321</v>
      </c>
      <c r="B779" t="s">
        <v>42</v>
      </c>
      <c r="C779" s="2">
        <f>HYPERLINK("https://svao.dolgi.msk.ru/account/1760022549/", 1760022549)</f>
        <v>1760022549</v>
      </c>
      <c r="D779">
        <v>311.63</v>
      </c>
    </row>
    <row r="780" spans="1:4" x14ac:dyDescent="0.25">
      <c r="A780" t="s">
        <v>321</v>
      </c>
      <c r="B780" t="s">
        <v>42</v>
      </c>
      <c r="C780" s="2">
        <f>HYPERLINK("https://svao.dolgi.msk.ru/account/1760024157/", 1760024157)</f>
        <v>1760024157</v>
      </c>
      <c r="D780">
        <v>434.46</v>
      </c>
    </row>
    <row r="781" spans="1:4" x14ac:dyDescent="0.25">
      <c r="A781" t="s">
        <v>321</v>
      </c>
      <c r="B781" t="s">
        <v>42</v>
      </c>
      <c r="C781" s="2">
        <f>HYPERLINK("https://svao.dolgi.msk.ru/account/1760029177/", 1760029177)</f>
        <v>1760029177</v>
      </c>
      <c r="D781">
        <v>321.83</v>
      </c>
    </row>
    <row r="782" spans="1:4" x14ac:dyDescent="0.25">
      <c r="A782" t="s">
        <v>321</v>
      </c>
      <c r="B782" t="s">
        <v>42</v>
      </c>
      <c r="C782" s="2">
        <f>HYPERLINK("https://svao.dolgi.msk.ru/account/1760032392/", 1760032392)</f>
        <v>1760032392</v>
      </c>
      <c r="D782">
        <v>467.05</v>
      </c>
    </row>
    <row r="783" spans="1:4" x14ac:dyDescent="0.25">
      <c r="A783" t="s">
        <v>321</v>
      </c>
      <c r="B783" t="s">
        <v>42</v>
      </c>
      <c r="C783" s="2">
        <f>HYPERLINK("https://svao.dolgi.msk.ru/account/1760034603/", 1760034603)</f>
        <v>1760034603</v>
      </c>
      <c r="D783">
        <v>220.1</v>
      </c>
    </row>
    <row r="784" spans="1:4" x14ac:dyDescent="0.25">
      <c r="A784" t="s">
        <v>321</v>
      </c>
      <c r="B784" t="s">
        <v>42</v>
      </c>
      <c r="C784" s="2">
        <f>HYPERLINK("https://svao.dolgi.msk.ru/account/1760037871/", 1760037871)</f>
        <v>1760037871</v>
      </c>
      <c r="D784">
        <v>178.68</v>
      </c>
    </row>
    <row r="785" spans="1:4" x14ac:dyDescent="0.25">
      <c r="A785" t="s">
        <v>321</v>
      </c>
      <c r="B785" t="s">
        <v>42</v>
      </c>
      <c r="C785" s="2">
        <f>HYPERLINK("https://svao.dolgi.msk.ru/account/1760062196/", 1760062196)</f>
        <v>1760062196</v>
      </c>
      <c r="D785">
        <v>205.73</v>
      </c>
    </row>
    <row r="786" spans="1:4" x14ac:dyDescent="0.25">
      <c r="A786" t="s">
        <v>321</v>
      </c>
      <c r="B786" t="s">
        <v>42</v>
      </c>
      <c r="C786" s="2">
        <f>HYPERLINK("https://svao.dolgi.msk.ru/account/1760062567/", 1760062567)</f>
        <v>1760062567</v>
      </c>
      <c r="D786">
        <v>522.69000000000005</v>
      </c>
    </row>
    <row r="787" spans="1:4" x14ac:dyDescent="0.25">
      <c r="A787" t="s">
        <v>321</v>
      </c>
      <c r="B787" t="s">
        <v>42</v>
      </c>
      <c r="C787" s="2">
        <f>HYPERLINK("https://svao.dolgi.msk.ru/account/1760062997/", 1760062997)</f>
        <v>1760062997</v>
      </c>
      <c r="D787">
        <v>5252.51</v>
      </c>
    </row>
    <row r="788" spans="1:4" x14ac:dyDescent="0.25">
      <c r="A788" t="s">
        <v>321</v>
      </c>
      <c r="B788" t="s">
        <v>42</v>
      </c>
      <c r="C788" s="2">
        <f>HYPERLINK("https://svao.dolgi.msk.ru/account/1760063244/", 1760063244)</f>
        <v>1760063244</v>
      </c>
      <c r="D788">
        <v>2972.57</v>
      </c>
    </row>
    <row r="789" spans="1:4" x14ac:dyDescent="0.25">
      <c r="A789" t="s">
        <v>321</v>
      </c>
      <c r="B789" t="s">
        <v>42</v>
      </c>
      <c r="C789" s="2">
        <f>HYPERLINK("https://svao.dolgi.msk.ru/account/1760063332/", 1760063332)</f>
        <v>1760063332</v>
      </c>
      <c r="D789">
        <v>3678.16</v>
      </c>
    </row>
    <row r="790" spans="1:4" x14ac:dyDescent="0.25">
      <c r="A790" t="s">
        <v>321</v>
      </c>
      <c r="B790" t="s">
        <v>42</v>
      </c>
      <c r="C790" s="2">
        <f>HYPERLINK("https://svao.dolgi.msk.ru/account/1760063615/", 1760063615)</f>
        <v>1760063615</v>
      </c>
      <c r="D790">
        <v>497.84</v>
      </c>
    </row>
    <row r="791" spans="1:4" x14ac:dyDescent="0.25">
      <c r="A791" t="s">
        <v>321</v>
      </c>
      <c r="B791" t="s">
        <v>42</v>
      </c>
      <c r="C791" s="2">
        <f>HYPERLINK("https://svao.dolgi.msk.ru/account/1760064239/", 1760064239)</f>
        <v>1760064239</v>
      </c>
      <c r="D791">
        <v>6670.03</v>
      </c>
    </row>
    <row r="792" spans="1:4" x14ac:dyDescent="0.25">
      <c r="A792" t="s">
        <v>321</v>
      </c>
      <c r="B792" t="s">
        <v>42</v>
      </c>
      <c r="C792" s="2">
        <f>HYPERLINK("https://svao.dolgi.msk.ru/account/1760064298/", 1760064298)</f>
        <v>1760064298</v>
      </c>
      <c r="D792">
        <v>10505.21</v>
      </c>
    </row>
    <row r="793" spans="1:4" x14ac:dyDescent="0.25">
      <c r="A793" t="s">
        <v>321</v>
      </c>
      <c r="B793" t="s">
        <v>42</v>
      </c>
      <c r="C793" s="2">
        <f>HYPERLINK("https://svao.dolgi.msk.ru/account/1760064669/", 1760064669)</f>
        <v>1760064669</v>
      </c>
      <c r="D793">
        <v>1363.3</v>
      </c>
    </row>
    <row r="794" spans="1:4" x14ac:dyDescent="0.25">
      <c r="A794" t="s">
        <v>321</v>
      </c>
      <c r="B794" t="s">
        <v>42</v>
      </c>
      <c r="C794" s="2">
        <f>HYPERLINK("https://svao.dolgi.msk.ru/account/1760065397/", 1760065397)</f>
        <v>1760065397</v>
      </c>
      <c r="D794">
        <v>330.2</v>
      </c>
    </row>
    <row r="795" spans="1:4" x14ac:dyDescent="0.25">
      <c r="A795" t="s">
        <v>321</v>
      </c>
      <c r="B795" t="s">
        <v>42</v>
      </c>
      <c r="C795" s="2">
        <f>HYPERLINK("https://svao.dolgi.msk.ru/account/1760065602/", 1760065602)</f>
        <v>1760065602</v>
      </c>
      <c r="D795">
        <v>3164.66</v>
      </c>
    </row>
    <row r="796" spans="1:4" x14ac:dyDescent="0.25">
      <c r="A796" t="s">
        <v>321</v>
      </c>
      <c r="B796" t="s">
        <v>42</v>
      </c>
      <c r="C796" s="2">
        <f>HYPERLINK("https://svao.dolgi.msk.ru/account/1760065864/", 1760065864)</f>
        <v>1760065864</v>
      </c>
      <c r="D796">
        <v>717.39</v>
      </c>
    </row>
    <row r="797" spans="1:4" x14ac:dyDescent="0.25">
      <c r="A797" t="s">
        <v>321</v>
      </c>
      <c r="B797" t="s">
        <v>42</v>
      </c>
      <c r="C797" s="2">
        <f>HYPERLINK("https://svao.dolgi.msk.ru/account/1760066525/", 1760066525)</f>
        <v>1760066525</v>
      </c>
      <c r="D797">
        <v>3208.11</v>
      </c>
    </row>
    <row r="798" spans="1:4" x14ac:dyDescent="0.25">
      <c r="A798" t="s">
        <v>321</v>
      </c>
      <c r="B798" t="s">
        <v>42</v>
      </c>
      <c r="C798" s="2">
        <f>HYPERLINK("https://svao.dolgi.msk.ru/account/1760067245/", 1760067245)</f>
        <v>1760067245</v>
      </c>
      <c r="D798">
        <v>3937.27</v>
      </c>
    </row>
    <row r="799" spans="1:4" x14ac:dyDescent="0.25">
      <c r="A799" t="s">
        <v>321</v>
      </c>
      <c r="B799" t="s">
        <v>42</v>
      </c>
      <c r="C799" s="2">
        <f>HYPERLINK("https://svao.dolgi.msk.ru/account/1760067704/", 1760067704)</f>
        <v>1760067704</v>
      </c>
      <c r="D799">
        <v>11857.67</v>
      </c>
    </row>
    <row r="800" spans="1:4" x14ac:dyDescent="0.25">
      <c r="A800" t="s">
        <v>321</v>
      </c>
      <c r="B800" t="s">
        <v>42</v>
      </c>
      <c r="C800" s="2">
        <f>HYPERLINK("https://svao.dolgi.msk.ru/account/1760067886/", 1760067886)</f>
        <v>1760067886</v>
      </c>
      <c r="D800">
        <v>6335.46</v>
      </c>
    </row>
    <row r="801" spans="1:4" x14ac:dyDescent="0.25">
      <c r="A801" t="s">
        <v>321</v>
      </c>
      <c r="B801" t="s">
        <v>42</v>
      </c>
      <c r="C801" s="2">
        <f>HYPERLINK("https://svao.dolgi.msk.ru/account/1760069398/", 1760069398)</f>
        <v>1760069398</v>
      </c>
      <c r="D801">
        <v>1264.6400000000001</v>
      </c>
    </row>
    <row r="802" spans="1:4" x14ac:dyDescent="0.25">
      <c r="A802" t="s">
        <v>321</v>
      </c>
      <c r="B802" t="s">
        <v>42</v>
      </c>
      <c r="C802" s="2">
        <f>HYPERLINK("https://svao.dolgi.msk.ru/account/1760070014/", 1760070014)</f>
        <v>1760070014</v>
      </c>
      <c r="D802">
        <v>6063.82</v>
      </c>
    </row>
    <row r="803" spans="1:4" x14ac:dyDescent="0.25">
      <c r="A803" t="s">
        <v>321</v>
      </c>
      <c r="B803" t="s">
        <v>42</v>
      </c>
      <c r="C803" s="2">
        <f>HYPERLINK("https://svao.dolgi.msk.ru/account/1760071527/", 1760071527)</f>
        <v>1760071527</v>
      </c>
      <c r="D803">
        <v>382.34</v>
      </c>
    </row>
    <row r="804" spans="1:4" x14ac:dyDescent="0.25">
      <c r="A804" t="s">
        <v>321</v>
      </c>
      <c r="B804" t="s">
        <v>42</v>
      </c>
      <c r="C804" s="2">
        <f>HYPERLINK("https://svao.dolgi.msk.ru/account/1760072095/", 1760072095)</f>
        <v>1760072095</v>
      </c>
      <c r="D804">
        <v>2645.74</v>
      </c>
    </row>
    <row r="805" spans="1:4" x14ac:dyDescent="0.25">
      <c r="A805" t="s">
        <v>321</v>
      </c>
      <c r="B805" t="s">
        <v>42</v>
      </c>
      <c r="C805" s="2">
        <f>HYPERLINK("https://svao.dolgi.msk.ru/account/1760072503/", 1760072503)</f>
        <v>1760072503</v>
      </c>
      <c r="D805">
        <v>1174.97</v>
      </c>
    </row>
    <row r="806" spans="1:4" x14ac:dyDescent="0.25">
      <c r="A806" t="s">
        <v>321</v>
      </c>
      <c r="B806" t="s">
        <v>42</v>
      </c>
      <c r="C806" s="2">
        <f>HYPERLINK("https://svao.dolgi.msk.ru/account/1760074453/", 1760074453)</f>
        <v>1760074453</v>
      </c>
      <c r="D806">
        <v>2767.93</v>
      </c>
    </row>
    <row r="807" spans="1:4" x14ac:dyDescent="0.25">
      <c r="A807" t="s">
        <v>321</v>
      </c>
      <c r="B807" t="s">
        <v>42</v>
      </c>
      <c r="C807" s="2">
        <f>HYPERLINK("https://svao.dolgi.msk.ru/account/1760074808/", 1760074808)</f>
        <v>1760074808</v>
      </c>
      <c r="D807">
        <v>6545.53</v>
      </c>
    </row>
    <row r="808" spans="1:4" x14ac:dyDescent="0.25">
      <c r="A808" t="s">
        <v>321</v>
      </c>
      <c r="B808" t="s">
        <v>42</v>
      </c>
      <c r="C808" s="2">
        <f>HYPERLINK("https://svao.dolgi.msk.ru/account/1760075309/", 1760075309)</f>
        <v>1760075309</v>
      </c>
      <c r="D808">
        <v>580.53</v>
      </c>
    </row>
    <row r="809" spans="1:4" x14ac:dyDescent="0.25">
      <c r="A809" t="s">
        <v>321</v>
      </c>
      <c r="B809" t="s">
        <v>42</v>
      </c>
      <c r="C809" s="2">
        <f>HYPERLINK("https://svao.dolgi.msk.ru/account/1760075448/", 1760075448)</f>
        <v>1760075448</v>
      </c>
      <c r="D809">
        <v>2279.1999999999998</v>
      </c>
    </row>
    <row r="810" spans="1:4" x14ac:dyDescent="0.25">
      <c r="A810" t="s">
        <v>321</v>
      </c>
      <c r="B810" t="s">
        <v>42</v>
      </c>
      <c r="C810" s="2">
        <f>HYPERLINK("https://svao.dolgi.msk.ru/account/1760075691/", 1760075691)</f>
        <v>1760075691</v>
      </c>
      <c r="D810">
        <v>472.38</v>
      </c>
    </row>
    <row r="811" spans="1:4" x14ac:dyDescent="0.25">
      <c r="A811" t="s">
        <v>321</v>
      </c>
      <c r="B811" t="s">
        <v>42</v>
      </c>
      <c r="C811" s="2">
        <f>HYPERLINK("https://svao.dolgi.msk.ru/account/1760076723/", 1760076723)</f>
        <v>1760076723</v>
      </c>
      <c r="D811">
        <v>2064.83</v>
      </c>
    </row>
    <row r="812" spans="1:4" x14ac:dyDescent="0.25">
      <c r="A812" t="s">
        <v>321</v>
      </c>
      <c r="B812" t="s">
        <v>42</v>
      </c>
      <c r="C812" s="2">
        <f>HYPERLINK("https://svao.dolgi.msk.ru/account/1760077654/", 1760077654)</f>
        <v>1760077654</v>
      </c>
      <c r="D812">
        <v>328.38</v>
      </c>
    </row>
    <row r="813" spans="1:4" x14ac:dyDescent="0.25">
      <c r="A813" t="s">
        <v>321</v>
      </c>
      <c r="B813" t="s">
        <v>42</v>
      </c>
      <c r="C813" s="2">
        <f>HYPERLINK("https://svao.dolgi.msk.ru/account/1760077697/", 1760077697)</f>
        <v>1760077697</v>
      </c>
      <c r="D813">
        <v>4684.55</v>
      </c>
    </row>
    <row r="814" spans="1:4" x14ac:dyDescent="0.25">
      <c r="A814" t="s">
        <v>321</v>
      </c>
      <c r="B814" t="s">
        <v>42</v>
      </c>
      <c r="C814" s="2">
        <f>HYPERLINK("https://svao.dolgi.msk.ru/account/1760078112/", 1760078112)</f>
        <v>1760078112</v>
      </c>
      <c r="D814">
        <v>1490.24</v>
      </c>
    </row>
    <row r="815" spans="1:4" x14ac:dyDescent="0.25">
      <c r="A815" t="s">
        <v>321</v>
      </c>
      <c r="B815" t="s">
        <v>42</v>
      </c>
      <c r="C815" s="2">
        <f>HYPERLINK("https://svao.dolgi.msk.ru/account/1760079182/", 1760079182)</f>
        <v>1760079182</v>
      </c>
      <c r="D815">
        <v>423.04</v>
      </c>
    </row>
    <row r="816" spans="1:4" x14ac:dyDescent="0.25">
      <c r="A816" t="s">
        <v>321</v>
      </c>
      <c r="B816" t="s">
        <v>42</v>
      </c>
      <c r="C816" s="2">
        <f>HYPERLINK("https://svao.dolgi.msk.ru/account/1760079609/", 1760079609)</f>
        <v>1760079609</v>
      </c>
      <c r="D816">
        <v>2096.34</v>
      </c>
    </row>
    <row r="817" spans="1:4" x14ac:dyDescent="0.25">
      <c r="A817" t="s">
        <v>321</v>
      </c>
      <c r="B817" t="s">
        <v>42</v>
      </c>
      <c r="C817" s="2">
        <f>HYPERLINK("https://svao.dolgi.msk.ru/account/1760079668/", 1760079668)</f>
        <v>1760079668</v>
      </c>
      <c r="D817">
        <v>274.47000000000003</v>
      </c>
    </row>
    <row r="818" spans="1:4" x14ac:dyDescent="0.25">
      <c r="A818" t="s">
        <v>321</v>
      </c>
      <c r="B818" t="s">
        <v>42</v>
      </c>
      <c r="C818" s="2">
        <f>HYPERLINK("https://svao.dolgi.msk.ru/account/1760082234/", 1760082234)</f>
        <v>1760082234</v>
      </c>
      <c r="D818">
        <v>5858.71</v>
      </c>
    </row>
    <row r="819" spans="1:4" x14ac:dyDescent="0.25">
      <c r="A819" t="s">
        <v>321</v>
      </c>
      <c r="B819" t="s">
        <v>42</v>
      </c>
      <c r="C819" s="2">
        <f>HYPERLINK("https://svao.dolgi.msk.ru/account/1760088038/", 1760088038)</f>
        <v>1760088038</v>
      </c>
      <c r="D819">
        <v>312.77999999999997</v>
      </c>
    </row>
    <row r="820" spans="1:4" x14ac:dyDescent="0.25">
      <c r="A820" t="s">
        <v>321</v>
      </c>
      <c r="B820" t="s">
        <v>42</v>
      </c>
      <c r="C820" s="2">
        <f>HYPERLINK("https://svao.dolgi.msk.ru/account/1760088193/", 1760088193)</f>
        <v>1760088193</v>
      </c>
      <c r="D820">
        <v>407.25</v>
      </c>
    </row>
    <row r="821" spans="1:4" x14ac:dyDescent="0.25">
      <c r="A821" t="s">
        <v>321</v>
      </c>
      <c r="B821" t="s">
        <v>42</v>
      </c>
      <c r="C821" s="2">
        <f>HYPERLINK("https://svao.dolgi.msk.ru/account/1760088484/", 1760088484)</f>
        <v>1760088484</v>
      </c>
      <c r="D821">
        <v>334.51</v>
      </c>
    </row>
    <row r="822" spans="1:4" x14ac:dyDescent="0.25">
      <c r="A822" t="s">
        <v>321</v>
      </c>
      <c r="B822" t="s">
        <v>42</v>
      </c>
      <c r="C822" s="2">
        <f>HYPERLINK("https://svao.dolgi.msk.ru/account/1760088636/", 1760088636)</f>
        <v>1760088636</v>
      </c>
      <c r="D822">
        <v>7704.38</v>
      </c>
    </row>
    <row r="823" spans="1:4" x14ac:dyDescent="0.25">
      <c r="A823" t="s">
        <v>321</v>
      </c>
      <c r="B823" t="s">
        <v>42</v>
      </c>
      <c r="C823" s="2">
        <f>HYPERLINK("https://svao.dolgi.msk.ru/account/1760090197/", 1760090197)</f>
        <v>1760090197</v>
      </c>
      <c r="D823">
        <v>2401.08</v>
      </c>
    </row>
    <row r="824" spans="1:4" x14ac:dyDescent="0.25">
      <c r="A824" t="s">
        <v>321</v>
      </c>
      <c r="B824" t="s">
        <v>42</v>
      </c>
      <c r="C824" s="2">
        <f>HYPERLINK("https://svao.dolgi.msk.ru/account/1760091712/", 1760091712)</f>
        <v>1760091712</v>
      </c>
      <c r="D824">
        <v>632.55999999999995</v>
      </c>
    </row>
    <row r="825" spans="1:4" x14ac:dyDescent="0.25">
      <c r="A825" t="s">
        <v>321</v>
      </c>
      <c r="B825" t="s">
        <v>42</v>
      </c>
      <c r="C825" s="2">
        <f>HYPERLINK("https://svao.dolgi.msk.ru/account/1760093339/", 1760093339)</f>
        <v>1760093339</v>
      </c>
      <c r="D825">
        <v>182.34</v>
      </c>
    </row>
    <row r="826" spans="1:4" x14ac:dyDescent="0.25">
      <c r="A826" t="s">
        <v>321</v>
      </c>
      <c r="B826" t="s">
        <v>42</v>
      </c>
      <c r="C826" s="2">
        <f>HYPERLINK("https://svao.dolgi.msk.ru/account/1760093355/", 1760093355)</f>
        <v>1760093355</v>
      </c>
      <c r="D826">
        <v>1795.76</v>
      </c>
    </row>
    <row r="827" spans="1:4" x14ac:dyDescent="0.25">
      <c r="A827" t="s">
        <v>321</v>
      </c>
      <c r="B827" t="s">
        <v>42</v>
      </c>
      <c r="C827" s="2">
        <f>HYPERLINK("https://svao.dolgi.msk.ru/account/1760094112/", 1760094112)</f>
        <v>1760094112</v>
      </c>
      <c r="D827">
        <v>6664.02</v>
      </c>
    </row>
    <row r="828" spans="1:4" x14ac:dyDescent="0.25">
      <c r="A828" t="s">
        <v>321</v>
      </c>
      <c r="B828" t="s">
        <v>42</v>
      </c>
      <c r="C828" s="2">
        <f>HYPERLINK("https://svao.dolgi.msk.ru/account/1760094278/", 1760094278)</f>
        <v>1760094278</v>
      </c>
      <c r="D828">
        <v>421.36</v>
      </c>
    </row>
    <row r="829" spans="1:4" x14ac:dyDescent="0.25">
      <c r="A829" t="s">
        <v>321</v>
      </c>
      <c r="B829" t="s">
        <v>42</v>
      </c>
      <c r="C829" s="2">
        <f>HYPERLINK("https://svao.dolgi.msk.ru/account/1760094323/", 1760094323)</f>
        <v>1760094323</v>
      </c>
      <c r="D829">
        <v>1006.7</v>
      </c>
    </row>
    <row r="830" spans="1:4" x14ac:dyDescent="0.25">
      <c r="A830" t="s">
        <v>321</v>
      </c>
      <c r="B830" t="s">
        <v>42</v>
      </c>
      <c r="C830" s="2">
        <f>HYPERLINK("https://svao.dolgi.msk.ru/account/1760095561/", 1760095561)</f>
        <v>1760095561</v>
      </c>
      <c r="D830">
        <v>4631.6499999999996</v>
      </c>
    </row>
    <row r="831" spans="1:4" x14ac:dyDescent="0.25">
      <c r="A831" t="s">
        <v>321</v>
      </c>
      <c r="B831" t="s">
        <v>42</v>
      </c>
      <c r="C831" s="2">
        <f>HYPERLINK("https://svao.dolgi.msk.ru/account/1760095713/", 1760095713)</f>
        <v>1760095713</v>
      </c>
      <c r="D831">
        <v>1148.26</v>
      </c>
    </row>
    <row r="832" spans="1:4" x14ac:dyDescent="0.25">
      <c r="A832" t="s">
        <v>321</v>
      </c>
      <c r="B832" t="s">
        <v>42</v>
      </c>
      <c r="C832" s="2">
        <f>HYPERLINK("https://svao.dolgi.msk.ru/account/1760095908/", 1760095908)</f>
        <v>1760095908</v>
      </c>
      <c r="D832">
        <v>1293.21</v>
      </c>
    </row>
    <row r="833" spans="1:4" x14ac:dyDescent="0.25">
      <c r="A833" t="s">
        <v>321</v>
      </c>
      <c r="B833" t="s">
        <v>42</v>
      </c>
      <c r="C833" s="2">
        <f>HYPERLINK("https://svao.dolgi.msk.ru/account/1760096089/", 1760096089)</f>
        <v>1760096089</v>
      </c>
      <c r="D833">
        <v>3193.61</v>
      </c>
    </row>
    <row r="834" spans="1:4" x14ac:dyDescent="0.25">
      <c r="A834" t="s">
        <v>321</v>
      </c>
      <c r="B834" t="s">
        <v>42</v>
      </c>
      <c r="C834" s="2">
        <f>HYPERLINK("https://svao.dolgi.msk.ru/account/1760110274/", 1760110274)</f>
        <v>1760110274</v>
      </c>
      <c r="D834">
        <v>290.88</v>
      </c>
    </row>
    <row r="835" spans="1:4" x14ac:dyDescent="0.25">
      <c r="A835" t="s">
        <v>321</v>
      </c>
      <c r="B835" t="s">
        <v>42</v>
      </c>
      <c r="C835" s="2">
        <f>HYPERLINK("https://svao.dolgi.msk.ru/account/1760110856/", 1760110856)</f>
        <v>1760110856</v>
      </c>
      <c r="D835">
        <v>308.32</v>
      </c>
    </row>
    <row r="836" spans="1:4" x14ac:dyDescent="0.25">
      <c r="A836" t="s">
        <v>321</v>
      </c>
      <c r="B836" t="s">
        <v>42</v>
      </c>
      <c r="C836" s="2">
        <f>HYPERLINK("https://svao.dolgi.msk.ru/account/1760111031/", 1760111031)</f>
        <v>1760111031</v>
      </c>
      <c r="D836">
        <v>616</v>
      </c>
    </row>
    <row r="837" spans="1:4" x14ac:dyDescent="0.25">
      <c r="A837" t="s">
        <v>321</v>
      </c>
      <c r="B837" t="s">
        <v>42</v>
      </c>
      <c r="C837" s="2">
        <f>HYPERLINK("https://svao.dolgi.msk.ru/account/1760111568/", 1760111568)</f>
        <v>1760111568</v>
      </c>
      <c r="D837">
        <v>222.33</v>
      </c>
    </row>
    <row r="838" spans="1:4" x14ac:dyDescent="0.25">
      <c r="A838" t="s">
        <v>321</v>
      </c>
      <c r="B838" t="s">
        <v>42</v>
      </c>
      <c r="C838" s="2">
        <f>HYPERLINK("https://svao.dolgi.msk.ru/account/1760111584/", 1760111584)</f>
        <v>1760111584</v>
      </c>
      <c r="D838">
        <v>419.72</v>
      </c>
    </row>
    <row r="839" spans="1:4" x14ac:dyDescent="0.25">
      <c r="A839" t="s">
        <v>321</v>
      </c>
      <c r="B839" t="s">
        <v>42</v>
      </c>
      <c r="C839" s="2">
        <f>HYPERLINK("https://svao.dolgi.msk.ru/account/1760123649/", 1760123649)</f>
        <v>1760123649</v>
      </c>
      <c r="D839">
        <v>248.29</v>
      </c>
    </row>
    <row r="840" spans="1:4" x14ac:dyDescent="0.25">
      <c r="A840" t="s">
        <v>321</v>
      </c>
      <c r="B840" t="s">
        <v>42</v>
      </c>
      <c r="C840" s="2">
        <f>HYPERLINK("https://svao.dolgi.msk.ru/account/1760136589/", 1760136589)</f>
        <v>1760136589</v>
      </c>
      <c r="D840">
        <v>6762.51</v>
      </c>
    </row>
    <row r="841" spans="1:4" x14ac:dyDescent="0.25">
      <c r="A841" t="s">
        <v>321</v>
      </c>
      <c r="B841" t="s">
        <v>42</v>
      </c>
      <c r="C841" s="2">
        <f>HYPERLINK("https://svao.dolgi.msk.ru/account/1760138357/", 1760138357)</f>
        <v>1760138357</v>
      </c>
      <c r="D841">
        <v>977.19</v>
      </c>
    </row>
    <row r="842" spans="1:4" x14ac:dyDescent="0.25">
      <c r="A842" t="s">
        <v>321</v>
      </c>
      <c r="B842" t="s">
        <v>42</v>
      </c>
      <c r="C842" s="2">
        <f>HYPERLINK("https://svao.dolgi.msk.ru/account/1760161469/", 1760161469)</f>
        <v>1760161469</v>
      </c>
      <c r="D842">
        <v>2289.2600000000002</v>
      </c>
    </row>
    <row r="843" spans="1:4" x14ac:dyDescent="0.25">
      <c r="A843" t="s">
        <v>321</v>
      </c>
      <c r="B843" t="s">
        <v>42</v>
      </c>
      <c r="C843" s="2">
        <f>HYPERLINK("https://svao.dolgi.msk.ru/account/1760229355/", 1760229355)</f>
        <v>1760229355</v>
      </c>
      <c r="D843">
        <v>172.31</v>
      </c>
    </row>
    <row r="844" spans="1:4" x14ac:dyDescent="0.25">
      <c r="A844" t="s">
        <v>321</v>
      </c>
      <c r="B844" t="s">
        <v>42</v>
      </c>
      <c r="C844" s="2">
        <f>HYPERLINK("https://svao.dolgi.msk.ru/account/1760253363/", 1760253363)</f>
        <v>1760253363</v>
      </c>
      <c r="D844">
        <v>1081.68</v>
      </c>
    </row>
    <row r="845" spans="1:4" x14ac:dyDescent="0.25">
      <c r="A845" t="s">
        <v>321</v>
      </c>
      <c r="B845" t="s">
        <v>102</v>
      </c>
      <c r="C845" s="2">
        <f>HYPERLINK("https://svao.dolgi.msk.ru/account/1760040579/", 1760040579)</f>
        <v>1760040579</v>
      </c>
      <c r="D845">
        <v>680.6</v>
      </c>
    </row>
    <row r="846" spans="1:4" x14ac:dyDescent="0.25">
      <c r="A846" t="s">
        <v>321</v>
      </c>
      <c r="B846" t="s">
        <v>106</v>
      </c>
      <c r="C846" s="2">
        <f>HYPERLINK("https://svao.dolgi.msk.ru/account/1760241258/", 1760241258)</f>
        <v>1760241258</v>
      </c>
      <c r="D846">
        <v>670.1</v>
      </c>
    </row>
    <row r="847" spans="1:4" x14ac:dyDescent="0.25">
      <c r="A847" t="s">
        <v>321</v>
      </c>
      <c r="B847" t="s">
        <v>107</v>
      </c>
      <c r="C847" s="2">
        <f>HYPERLINK("https://svao.dolgi.msk.ru/account/1760198536/", 1760198536)</f>
        <v>1760198536</v>
      </c>
      <c r="D847">
        <v>548.80999999999995</v>
      </c>
    </row>
    <row r="848" spans="1:4" x14ac:dyDescent="0.25">
      <c r="A848" t="s">
        <v>321</v>
      </c>
      <c r="B848" t="s">
        <v>309</v>
      </c>
      <c r="C848" s="2">
        <f>HYPERLINK("https://svao.dolgi.msk.ru/account/1760230698/", 1760230698)</f>
        <v>1760230698</v>
      </c>
      <c r="D848">
        <v>1371.22</v>
      </c>
    </row>
    <row r="849" spans="1:4" x14ac:dyDescent="0.25">
      <c r="A849" t="s">
        <v>321</v>
      </c>
      <c r="B849" t="s">
        <v>209</v>
      </c>
      <c r="C849" s="2">
        <f>HYPERLINK("https://svao.dolgi.msk.ru/account/1760136239/", 1760136239)</f>
        <v>1760136239</v>
      </c>
      <c r="D849">
        <v>996.06</v>
      </c>
    </row>
    <row r="850" spans="1:4" x14ac:dyDescent="0.25">
      <c r="A850" t="s">
        <v>322</v>
      </c>
      <c r="B850" t="s">
        <v>41</v>
      </c>
      <c r="C850" s="2">
        <f>HYPERLINK("https://svao.dolgi.msk.ru/account/1760160546/", 1760160546)</f>
        <v>1760160546</v>
      </c>
      <c r="D850">
        <v>20380.45</v>
      </c>
    </row>
    <row r="851" spans="1:4" x14ac:dyDescent="0.25">
      <c r="A851" t="s">
        <v>322</v>
      </c>
      <c r="B851" t="s">
        <v>7</v>
      </c>
      <c r="C851" s="2">
        <f>HYPERLINK("https://svao.dolgi.msk.ru/account/1760160562/", 1760160562)</f>
        <v>1760160562</v>
      </c>
      <c r="D851">
        <v>11774.73</v>
      </c>
    </row>
    <row r="852" spans="1:4" x14ac:dyDescent="0.25">
      <c r="A852" t="s">
        <v>322</v>
      </c>
      <c r="B852" t="s">
        <v>102</v>
      </c>
      <c r="C852" s="2">
        <f>HYPERLINK("https://svao.dolgi.msk.ru/account/1760160618/", 1760160618)</f>
        <v>1760160618</v>
      </c>
      <c r="D852">
        <v>9516.83</v>
      </c>
    </row>
    <row r="853" spans="1:4" x14ac:dyDescent="0.25">
      <c r="A853" t="s">
        <v>322</v>
      </c>
      <c r="B853" t="s">
        <v>103</v>
      </c>
      <c r="C853" s="2">
        <f>HYPERLINK("https://svao.dolgi.msk.ru/account/1760160626/", 1760160626)</f>
        <v>1760160626</v>
      </c>
      <c r="D853">
        <v>6411.19</v>
      </c>
    </row>
    <row r="854" spans="1:4" x14ac:dyDescent="0.25">
      <c r="A854" t="s">
        <v>323</v>
      </c>
      <c r="B854" t="s">
        <v>41</v>
      </c>
      <c r="C854" s="2">
        <f>HYPERLINK("https://svao.dolgi.msk.ru/account/1760160722/", 1760160722)</f>
        <v>1760160722</v>
      </c>
      <c r="D854">
        <v>6142.24</v>
      </c>
    </row>
    <row r="855" spans="1:4" x14ac:dyDescent="0.25">
      <c r="A855" t="s">
        <v>323</v>
      </c>
      <c r="B855" t="s">
        <v>102</v>
      </c>
      <c r="C855" s="2">
        <f>HYPERLINK("https://svao.dolgi.msk.ru/account/1760160781/", 1760160781)</f>
        <v>1760160781</v>
      </c>
      <c r="D855">
        <v>1327.9</v>
      </c>
    </row>
    <row r="856" spans="1:4" x14ac:dyDescent="0.25">
      <c r="A856" t="s">
        <v>323</v>
      </c>
      <c r="B856" t="s">
        <v>104</v>
      </c>
      <c r="C856" s="2">
        <f>HYPERLINK("https://svao.dolgi.msk.ru/account/1761791868/", 1761791868)</f>
        <v>1761791868</v>
      </c>
      <c r="D856">
        <v>3649.4</v>
      </c>
    </row>
    <row r="857" spans="1:4" x14ac:dyDescent="0.25">
      <c r="A857" t="s">
        <v>323</v>
      </c>
      <c r="B857" t="s">
        <v>137</v>
      </c>
      <c r="C857" s="2">
        <f>HYPERLINK("https://svao.dolgi.msk.ru/account/1760160853/", 1760160853)</f>
        <v>1760160853</v>
      </c>
      <c r="D857">
        <v>262.55</v>
      </c>
    </row>
    <row r="858" spans="1:4" x14ac:dyDescent="0.25">
      <c r="A858" t="s">
        <v>323</v>
      </c>
      <c r="B858" t="s">
        <v>9</v>
      </c>
      <c r="C858" s="2">
        <f>HYPERLINK("https://svao.dolgi.msk.ru/account/1760160861/", 1760160861)</f>
        <v>1760160861</v>
      </c>
      <c r="D858">
        <v>3330.66</v>
      </c>
    </row>
    <row r="859" spans="1:4" x14ac:dyDescent="0.25">
      <c r="A859" t="s">
        <v>323</v>
      </c>
      <c r="B859" t="s">
        <v>91</v>
      </c>
      <c r="C859" s="2">
        <f>HYPERLINK("https://svao.dolgi.msk.ru/account/1760160896/", 1760160896)</f>
        <v>1760160896</v>
      </c>
      <c r="D859">
        <v>233.55</v>
      </c>
    </row>
    <row r="860" spans="1:4" x14ac:dyDescent="0.25">
      <c r="A860" t="s">
        <v>323</v>
      </c>
      <c r="B860" t="s">
        <v>14</v>
      </c>
      <c r="C860" s="2">
        <f>HYPERLINK("https://svao.dolgi.msk.ru/account/1760160968/", 1760160968)</f>
        <v>1760160968</v>
      </c>
      <c r="D860">
        <v>8943.7000000000007</v>
      </c>
    </row>
    <row r="861" spans="1:4" x14ac:dyDescent="0.25">
      <c r="A861" t="s">
        <v>324</v>
      </c>
      <c r="B861" t="s">
        <v>41</v>
      </c>
      <c r="C861" s="2">
        <f>HYPERLINK("https://svao.dolgi.msk.ru/account/1760155579/", 1760155579)</f>
        <v>1760155579</v>
      </c>
      <c r="D861">
        <v>134871.35999999999</v>
      </c>
    </row>
    <row r="862" spans="1:4" x14ac:dyDescent="0.25">
      <c r="A862" t="s">
        <v>324</v>
      </c>
      <c r="B862" t="s">
        <v>141</v>
      </c>
      <c r="C862" s="2">
        <f>HYPERLINK("https://svao.dolgi.msk.ru/account/1760155616/", 1760155616)</f>
        <v>1760155616</v>
      </c>
      <c r="D862">
        <v>5150.71</v>
      </c>
    </row>
    <row r="863" spans="1:4" x14ac:dyDescent="0.25">
      <c r="A863" t="s">
        <v>324</v>
      </c>
      <c r="B863" t="s">
        <v>137</v>
      </c>
      <c r="C863" s="2">
        <f>HYPERLINK("https://svao.dolgi.msk.ru/account/1760155691/", 1760155691)</f>
        <v>1760155691</v>
      </c>
      <c r="D863">
        <v>2575.98</v>
      </c>
    </row>
    <row r="864" spans="1:4" x14ac:dyDescent="0.25">
      <c r="A864" t="s">
        <v>324</v>
      </c>
      <c r="B864" t="s">
        <v>219</v>
      </c>
      <c r="C864" s="2">
        <f>HYPERLINK("https://svao.dolgi.msk.ru/account/1760155755/", 1760155755)</f>
        <v>1760155755</v>
      </c>
      <c r="D864">
        <v>3415.1</v>
      </c>
    </row>
    <row r="865" spans="1:4" x14ac:dyDescent="0.25">
      <c r="A865" t="s">
        <v>324</v>
      </c>
      <c r="B865" t="s">
        <v>12</v>
      </c>
      <c r="C865" s="2">
        <f>HYPERLINK("https://svao.dolgi.msk.ru/account/1760155771/", 1760155771)</f>
        <v>1760155771</v>
      </c>
      <c r="D865">
        <v>6161.5</v>
      </c>
    </row>
    <row r="866" spans="1:4" x14ac:dyDescent="0.25">
      <c r="A866" t="s">
        <v>324</v>
      </c>
      <c r="B866" t="s">
        <v>14</v>
      </c>
      <c r="C866" s="2">
        <f>HYPERLINK("https://svao.dolgi.msk.ru/account/1760255625/", 1760255625)</f>
        <v>1760255625</v>
      </c>
      <c r="D866">
        <v>31624.15</v>
      </c>
    </row>
    <row r="867" spans="1:4" x14ac:dyDescent="0.25">
      <c r="A867" t="s">
        <v>324</v>
      </c>
      <c r="B867" t="s">
        <v>16</v>
      </c>
      <c r="C867" s="2">
        <f>HYPERLINK("https://svao.dolgi.msk.ru/account/1760155878/", 1760155878)</f>
        <v>1760155878</v>
      </c>
      <c r="D867">
        <v>4199.67</v>
      </c>
    </row>
    <row r="868" spans="1:4" x14ac:dyDescent="0.25">
      <c r="A868" t="s">
        <v>324</v>
      </c>
      <c r="B868" t="s">
        <v>18</v>
      </c>
      <c r="C868" s="2">
        <f>HYPERLINK("https://svao.dolgi.msk.ru/account/1760155894/", 1760155894)</f>
        <v>1760155894</v>
      </c>
      <c r="D868">
        <v>6413.6</v>
      </c>
    </row>
    <row r="869" spans="1:4" x14ac:dyDescent="0.25">
      <c r="A869" t="s">
        <v>324</v>
      </c>
      <c r="B869" t="s">
        <v>110</v>
      </c>
      <c r="C869" s="2">
        <f>HYPERLINK("https://svao.dolgi.msk.ru/account/1760155923/", 1760155923)</f>
        <v>1760155923</v>
      </c>
      <c r="D869">
        <v>9991.9</v>
      </c>
    </row>
    <row r="870" spans="1:4" x14ac:dyDescent="0.25">
      <c r="A870" t="s">
        <v>324</v>
      </c>
      <c r="B870" t="s">
        <v>111</v>
      </c>
      <c r="C870" s="2">
        <f>HYPERLINK("https://svao.dolgi.msk.ru/account/1760155982/", 1760155982)</f>
        <v>1760155982</v>
      </c>
      <c r="D870">
        <v>6779.91</v>
      </c>
    </row>
    <row r="871" spans="1:4" x14ac:dyDescent="0.25">
      <c r="A871" t="s">
        <v>324</v>
      </c>
      <c r="B871" t="s">
        <v>112</v>
      </c>
      <c r="C871" s="2">
        <f>HYPERLINK("https://svao.dolgi.msk.ru/account/1760156029/", 1760156029)</f>
        <v>1760156029</v>
      </c>
      <c r="D871">
        <v>5431.63</v>
      </c>
    </row>
    <row r="872" spans="1:4" x14ac:dyDescent="0.25">
      <c r="A872" t="s">
        <v>324</v>
      </c>
      <c r="B872" t="s">
        <v>112</v>
      </c>
      <c r="C872" s="2">
        <f>HYPERLINK("https://svao.dolgi.msk.ru/account/1760255641/", 1760255641)</f>
        <v>1760255641</v>
      </c>
      <c r="D872">
        <v>4590.72</v>
      </c>
    </row>
    <row r="873" spans="1:4" x14ac:dyDescent="0.25">
      <c r="A873" t="s">
        <v>324</v>
      </c>
      <c r="B873" t="s">
        <v>114</v>
      </c>
      <c r="C873" s="2">
        <f>HYPERLINK("https://svao.dolgi.msk.ru/account/1760156061/", 1760156061)</f>
        <v>1760156061</v>
      </c>
      <c r="D873">
        <v>4308.7</v>
      </c>
    </row>
    <row r="874" spans="1:4" x14ac:dyDescent="0.25">
      <c r="A874" t="s">
        <v>324</v>
      </c>
      <c r="B874" t="s">
        <v>79</v>
      </c>
      <c r="C874" s="2">
        <f>HYPERLINK("https://svao.dolgi.msk.ru/account/1760156109/", 1760156109)</f>
        <v>1760156109</v>
      </c>
      <c r="D874">
        <v>4310.3100000000004</v>
      </c>
    </row>
    <row r="875" spans="1:4" x14ac:dyDescent="0.25">
      <c r="A875" t="s">
        <v>325</v>
      </c>
      <c r="B875" t="s">
        <v>141</v>
      </c>
      <c r="C875" s="2">
        <f>HYPERLINK("https://svao.dolgi.msk.ru/account/1760223279/", 1760223279)</f>
        <v>1760223279</v>
      </c>
      <c r="D875">
        <v>133.83000000000001</v>
      </c>
    </row>
    <row r="876" spans="1:4" x14ac:dyDescent="0.25">
      <c r="A876" t="s">
        <v>325</v>
      </c>
      <c r="B876" t="s">
        <v>73</v>
      </c>
      <c r="C876" s="2">
        <f>HYPERLINK("https://svao.dolgi.msk.ru/account/1760223308/", 1760223308)</f>
        <v>1760223308</v>
      </c>
      <c r="D876">
        <v>3424.05</v>
      </c>
    </row>
    <row r="877" spans="1:4" x14ac:dyDescent="0.25">
      <c r="A877" t="s">
        <v>325</v>
      </c>
      <c r="B877" t="s">
        <v>74</v>
      </c>
      <c r="C877" s="2">
        <f>HYPERLINK("https://svao.dolgi.msk.ru/account/1760223332/", 1760223332)</f>
        <v>1760223332</v>
      </c>
      <c r="D877">
        <v>4318.83</v>
      </c>
    </row>
    <row r="878" spans="1:4" x14ac:dyDescent="0.25">
      <c r="A878" t="s">
        <v>325</v>
      </c>
      <c r="B878" t="s">
        <v>75</v>
      </c>
      <c r="C878" s="2">
        <f>HYPERLINK("https://svao.dolgi.msk.ru/account/1760223375/", 1760223375)</f>
        <v>1760223375</v>
      </c>
      <c r="D878">
        <v>3891.17</v>
      </c>
    </row>
    <row r="879" spans="1:4" x14ac:dyDescent="0.25">
      <c r="A879" t="s">
        <v>325</v>
      </c>
      <c r="B879" t="s">
        <v>12</v>
      </c>
      <c r="C879" s="2">
        <f>HYPERLINK("https://svao.dolgi.msk.ru/account/1760223439/", 1760223439)</f>
        <v>1760223439</v>
      </c>
      <c r="D879">
        <v>396.24</v>
      </c>
    </row>
    <row r="880" spans="1:4" x14ac:dyDescent="0.25">
      <c r="A880" t="s">
        <v>325</v>
      </c>
      <c r="B880" t="s">
        <v>13</v>
      </c>
      <c r="C880" s="2">
        <f>HYPERLINK("https://svao.dolgi.msk.ru/account/1760223447/", 1760223447)</f>
        <v>1760223447</v>
      </c>
      <c r="D880">
        <v>4404.83</v>
      </c>
    </row>
    <row r="881" spans="1:4" x14ac:dyDescent="0.25">
      <c r="A881" t="s">
        <v>325</v>
      </c>
      <c r="B881" t="s">
        <v>108</v>
      </c>
      <c r="C881" s="2">
        <f>HYPERLINK("https://svao.dolgi.msk.ru/account/1760223519/", 1760223519)</f>
        <v>1760223519</v>
      </c>
      <c r="D881">
        <v>902.36</v>
      </c>
    </row>
    <row r="882" spans="1:4" x14ac:dyDescent="0.25">
      <c r="A882" t="s">
        <v>325</v>
      </c>
      <c r="B882" t="s">
        <v>109</v>
      </c>
      <c r="C882" s="2">
        <f>HYPERLINK("https://svao.dolgi.msk.ru/account/1760223578/", 1760223578)</f>
        <v>1760223578</v>
      </c>
      <c r="D882">
        <v>6430.66</v>
      </c>
    </row>
    <row r="883" spans="1:4" x14ac:dyDescent="0.25">
      <c r="A883" t="s">
        <v>325</v>
      </c>
      <c r="B883" t="s">
        <v>20</v>
      </c>
      <c r="C883" s="2">
        <f>HYPERLINK("https://svao.dolgi.msk.ru/account/1760223594/", 1760223594)</f>
        <v>1760223594</v>
      </c>
      <c r="D883">
        <v>2566.5700000000002</v>
      </c>
    </row>
    <row r="884" spans="1:4" x14ac:dyDescent="0.25">
      <c r="A884" t="s">
        <v>325</v>
      </c>
      <c r="B884" t="s">
        <v>76</v>
      </c>
      <c r="C884" s="2">
        <f>HYPERLINK("https://svao.dolgi.msk.ru/account/1760223607/", 1760223607)</f>
        <v>1760223607</v>
      </c>
      <c r="D884">
        <v>3004.92</v>
      </c>
    </row>
    <row r="885" spans="1:4" x14ac:dyDescent="0.25">
      <c r="A885" t="s">
        <v>325</v>
      </c>
      <c r="B885" t="s">
        <v>21</v>
      </c>
      <c r="C885" s="2">
        <f>HYPERLINK("https://svao.dolgi.msk.ru/account/1760223682/", 1760223682)</f>
        <v>1760223682</v>
      </c>
      <c r="D885">
        <v>5012.8900000000003</v>
      </c>
    </row>
    <row r="886" spans="1:4" x14ac:dyDescent="0.25">
      <c r="A886" t="s">
        <v>325</v>
      </c>
      <c r="B886" t="s">
        <v>78</v>
      </c>
      <c r="C886" s="2">
        <f>HYPERLINK("https://svao.dolgi.msk.ru/account/1760223738/", 1760223738)</f>
        <v>1760223738</v>
      </c>
      <c r="D886">
        <v>3008.28</v>
      </c>
    </row>
    <row r="887" spans="1:4" x14ac:dyDescent="0.25">
      <c r="A887" t="s">
        <v>325</v>
      </c>
      <c r="B887" t="s">
        <v>115</v>
      </c>
      <c r="C887" s="2">
        <f>HYPERLINK("https://svao.dolgi.msk.ru/account/1760223818/", 1760223818)</f>
        <v>1760223818</v>
      </c>
      <c r="D887">
        <v>172250.17</v>
      </c>
    </row>
    <row r="888" spans="1:4" x14ac:dyDescent="0.25">
      <c r="A888" t="s">
        <v>325</v>
      </c>
      <c r="B888" t="s">
        <v>24</v>
      </c>
      <c r="C888" s="2">
        <f>HYPERLINK("https://svao.dolgi.msk.ru/account/1760223834/", 1760223834)</f>
        <v>1760223834</v>
      </c>
      <c r="D888">
        <v>18185.29</v>
      </c>
    </row>
    <row r="889" spans="1:4" x14ac:dyDescent="0.25">
      <c r="A889" t="s">
        <v>325</v>
      </c>
      <c r="B889" t="s">
        <v>242</v>
      </c>
      <c r="C889" s="2">
        <f>HYPERLINK("https://svao.dolgi.msk.ru/account/1760223869/", 1760223869)</f>
        <v>1760223869</v>
      </c>
      <c r="D889">
        <v>926.49</v>
      </c>
    </row>
    <row r="890" spans="1:4" x14ac:dyDescent="0.25">
      <c r="A890" t="s">
        <v>325</v>
      </c>
      <c r="B890" t="s">
        <v>95</v>
      </c>
      <c r="C890" s="2">
        <f>HYPERLINK("https://svao.dolgi.msk.ru/account/1760223877/", 1760223877)</f>
        <v>1760223877</v>
      </c>
      <c r="D890">
        <v>12030.75</v>
      </c>
    </row>
    <row r="891" spans="1:4" x14ac:dyDescent="0.25">
      <c r="A891" t="s">
        <v>325</v>
      </c>
      <c r="B891" t="s">
        <v>131</v>
      </c>
      <c r="C891" s="2">
        <f>HYPERLINK("https://svao.dolgi.msk.ru/account/1760223885/", 1760223885)</f>
        <v>1760223885</v>
      </c>
      <c r="D891">
        <v>4478.04</v>
      </c>
    </row>
    <row r="892" spans="1:4" x14ac:dyDescent="0.25">
      <c r="A892" t="s">
        <v>325</v>
      </c>
      <c r="B892" t="s">
        <v>126</v>
      </c>
      <c r="C892" s="2">
        <f>HYPERLINK("https://svao.dolgi.msk.ru/account/1760223906/", 1760223906)</f>
        <v>1760223906</v>
      </c>
      <c r="D892">
        <v>3520.88</v>
      </c>
    </row>
    <row r="893" spans="1:4" x14ac:dyDescent="0.25">
      <c r="A893" t="s">
        <v>325</v>
      </c>
      <c r="B893" t="s">
        <v>80</v>
      </c>
      <c r="C893" s="2">
        <f>HYPERLINK("https://svao.dolgi.msk.ru/account/1760223914/", 1760223914)</f>
        <v>1760223914</v>
      </c>
      <c r="D893">
        <v>6686.7</v>
      </c>
    </row>
    <row r="894" spans="1:4" x14ac:dyDescent="0.25">
      <c r="A894" t="s">
        <v>325</v>
      </c>
      <c r="B894" t="s">
        <v>82</v>
      </c>
      <c r="C894" s="2">
        <f>HYPERLINK("https://svao.dolgi.msk.ru/account/1760223981/", 1760223981)</f>
        <v>1760223981</v>
      </c>
      <c r="D894">
        <v>3142.72</v>
      </c>
    </row>
    <row r="895" spans="1:4" x14ac:dyDescent="0.25">
      <c r="A895" t="s">
        <v>325</v>
      </c>
      <c r="B895" t="s">
        <v>25</v>
      </c>
      <c r="C895" s="2">
        <f>HYPERLINK("https://svao.dolgi.msk.ru/account/1760224028/", 1760224028)</f>
        <v>1760224028</v>
      </c>
      <c r="D895">
        <v>8800.9699999999993</v>
      </c>
    </row>
    <row r="896" spans="1:4" x14ac:dyDescent="0.25">
      <c r="A896" t="s">
        <v>325</v>
      </c>
      <c r="B896" t="s">
        <v>96</v>
      </c>
      <c r="C896" s="2">
        <f>HYPERLINK("https://svao.dolgi.msk.ru/account/1760224087/", 1760224087)</f>
        <v>1760224087</v>
      </c>
      <c r="D896">
        <v>10284.700000000001</v>
      </c>
    </row>
    <row r="897" spans="1:4" x14ac:dyDescent="0.25">
      <c r="A897" t="s">
        <v>325</v>
      </c>
      <c r="B897" t="s">
        <v>139</v>
      </c>
      <c r="C897" s="2">
        <f>HYPERLINK("https://svao.dolgi.msk.ru/account/1760224159/", 1760224159)</f>
        <v>1760224159</v>
      </c>
      <c r="D897">
        <v>630.79</v>
      </c>
    </row>
    <row r="898" spans="1:4" x14ac:dyDescent="0.25">
      <c r="A898" t="s">
        <v>325</v>
      </c>
      <c r="B898" t="s">
        <v>28</v>
      </c>
      <c r="C898" s="2">
        <f>HYPERLINK("https://svao.dolgi.msk.ru/account/1760224167/", 1760224167)</f>
        <v>1760224167</v>
      </c>
      <c r="D898">
        <v>4089.88</v>
      </c>
    </row>
    <row r="899" spans="1:4" x14ac:dyDescent="0.25">
      <c r="A899" t="s">
        <v>325</v>
      </c>
      <c r="B899" t="s">
        <v>30</v>
      </c>
      <c r="C899" s="2">
        <f>HYPERLINK("https://svao.dolgi.msk.ru/account/1760224204/", 1760224204)</f>
        <v>1760224204</v>
      </c>
      <c r="D899">
        <v>13494.28</v>
      </c>
    </row>
    <row r="900" spans="1:4" x14ac:dyDescent="0.25">
      <c r="A900" t="s">
        <v>325</v>
      </c>
      <c r="B900" t="s">
        <v>97</v>
      </c>
      <c r="C900" s="2">
        <f>HYPERLINK("https://svao.dolgi.msk.ru/account/1760224212/", 1760224212)</f>
        <v>1760224212</v>
      </c>
      <c r="D900">
        <v>3184.87</v>
      </c>
    </row>
    <row r="901" spans="1:4" x14ac:dyDescent="0.25">
      <c r="A901" t="s">
        <v>325</v>
      </c>
      <c r="B901" t="s">
        <v>291</v>
      </c>
      <c r="C901" s="2">
        <f>HYPERLINK("https://svao.dolgi.msk.ru/account/1760224263/", 1760224263)</f>
        <v>1760224263</v>
      </c>
      <c r="D901">
        <v>2360.37</v>
      </c>
    </row>
    <row r="902" spans="1:4" x14ac:dyDescent="0.25">
      <c r="A902" t="s">
        <v>325</v>
      </c>
      <c r="B902" t="s">
        <v>34</v>
      </c>
      <c r="C902" s="2">
        <f>HYPERLINK("https://svao.dolgi.msk.ru/account/1760224335/", 1760224335)</f>
        <v>1760224335</v>
      </c>
      <c r="D902">
        <v>4278.24</v>
      </c>
    </row>
    <row r="903" spans="1:4" x14ac:dyDescent="0.25">
      <c r="A903" t="s">
        <v>325</v>
      </c>
      <c r="B903" t="s">
        <v>35</v>
      </c>
      <c r="C903" s="2">
        <f>HYPERLINK("https://svao.dolgi.msk.ru/account/1760224343/", 1760224343)</f>
        <v>1760224343</v>
      </c>
      <c r="D903">
        <v>3630.68</v>
      </c>
    </row>
    <row r="904" spans="1:4" x14ac:dyDescent="0.25">
      <c r="A904" t="s">
        <v>325</v>
      </c>
      <c r="B904" t="s">
        <v>86</v>
      </c>
      <c r="C904" s="2">
        <f>HYPERLINK("https://svao.dolgi.msk.ru/account/1760224386/", 1760224386)</f>
        <v>1760224386</v>
      </c>
      <c r="D904">
        <v>50611.03</v>
      </c>
    </row>
    <row r="905" spans="1:4" x14ac:dyDescent="0.25">
      <c r="A905" t="s">
        <v>325</v>
      </c>
      <c r="B905" t="s">
        <v>293</v>
      </c>
      <c r="C905" s="2">
        <f>HYPERLINK("https://svao.dolgi.msk.ru/account/1760224431/", 1760224431)</f>
        <v>1760224431</v>
      </c>
      <c r="D905">
        <v>6154.85</v>
      </c>
    </row>
    <row r="906" spans="1:4" x14ac:dyDescent="0.25">
      <c r="A906" t="s">
        <v>325</v>
      </c>
      <c r="B906" t="s">
        <v>304</v>
      </c>
      <c r="C906" s="2">
        <f>HYPERLINK("https://svao.dolgi.msk.ru/account/1760224458/", 1760224458)</f>
        <v>1760224458</v>
      </c>
      <c r="D906">
        <v>4145.25</v>
      </c>
    </row>
    <row r="907" spans="1:4" x14ac:dyDescent="0.25">
      <c r="A907" t="s">
        <v>325</v>
      </c>
      <c r="B907" t="s">
        <v>40</v>
      </c>
      <c r="C907" s="2">
        <f>HYPERLINK("https://svao.dolgi.msk.ru/account/1760224503/", 1760224503)</f>
        <v>1760224503</v>
      </c>
      <c r="D907">
        <v>25775.69</v>
      </c>
    </row>
    <row r="908" spans="1:4" x14ac:dyDescent="0.25">
      <c r="A908" t="s">
        <v>326</v>
      </c>
      <c r="B908" t="s">
        <v>5</v>
      </c>
      <c r="C908" s="2">
        <f>HYPERLINK("https://svao.dolgi.msk.ru/account/1760175115/", 1760175115)</f>
        <v>1760175115</v>
      </c>
      <c r="D908">
        <v>4879.76</v>
      </c>
    </row>
    <row r="909" spans="1:4" x14ac:dyDescent="0.25">
      <c r="A909" t="s">
        <v>326</v>
      </c>
      <c r="B909" t="s">
        <v>8</v>
      </c>
      <c r="C909" s="2">
        <f>HYPERLINK("https://svao.dolgi.msk.ru/account/1760175211/", 1760175211)</f>
        <v>1760175211</v>
      </c>
      <c r="D909">
        <v>1697.9</v>
      </c>
    </row>
    <row r="910" spans="1:4" x14ac:dyDescent="0.25">
      <c r="A910" t="s">
        <v>326</v>
      </c>
      <c r="B910" t="s">
        <v>9</v>
      </c>
      <c r="C910" s="2">
        <f>HYPERLINK("https://svao.dolgi.msk.ru/account/1760175254/", 1760175254)</f>
        <v>1760175254</v>
      </c>
      <c r="D910">
        <v>95233.74</v>
      </c>
    </row>
    <row r="911" spans="1:4" x14ac:dyDescent="0.25">
      <c r="A911" t="s">
        <v>326</v>
      </c>
      <c r="B911" t="s">
        <v>91</v>
      </c>
      <c r="C911" s="2">
        <f>HYPERLINK("https://svao.dolgi.msk.ru/account/1760175289/", 1760175289)</f>
        <v>1760175289</v>
      </c>
      <c r="D911">
        <v>2373.3000000000002</v>
      </c>
    </row>
    <row r="912" spans="1:4" x14ac:dyDescent="0.25">
      <c r="A912" t="s">
        <v>326</v>
      </c>
      <c r="B912" t="s">
        <v>15</v>
      </c>
      <c r="C912" s="2">
        <f>HYPERLINK("https://svao.dolgi.msk.ru/account/1760175393/", 1760175393)</f>
        <v>1760175393</v>
      </c>
      <c r="D912">
        <v>2026.23</v>
      </c>
    </row>
    <row r="913" spans="1:4" x14ac:dyDescent="0.25">
      <c r="A913" t="s">
        <v>326</v>
      </c>
      <c r="B913" t="s">
        <v>111</v>
      </c>
      <c r="C913" s="2">
        <f>HYPERLINK("https://svao.dolgi.msk.ru/account/1760175553/", 1760175553)</f>
        <v>1760175553</v>
      </c>
      <c r="D913">
        <v>5259.04</v>
      </c>
    </row>
    <row r="914" spans="1:4" x14ac:dyDescent="0.25">
      <c r="A914" t="s">
        <v>326</v>
      </c>
      <c r="B914" t="s">
        <v>78</v>
      </c>
      <c r="C914" s="2">
        <f>HYPERLINK("https://svao.dolgi.msk.ru/account/1760175633/", 1760175633)</f>
        <v>1760175633</v>
      </c>
      <c r="D914">
        <v>2674.57</v>
      </c>
    </row>
    <row r="915" spans="1:4" x14ac:dyDescent="0.25">
      <c r="A915" t="s">
        <v>326</v>
      </c>
      <c r="B915" t="s">
        <v>117</v>
      </c>
      <c r="C915" s="2">
        <f>HYPERLINK("https://svao.dolgi.msk.ru/account/1760175692/", 1760175692)</f>
        <v>1760175692</v>
      </c>
      <c r="D915">
        <v>6744.27</v>
      </c>
    </row>
    <row r="916" spans="1:4" x14ac:dyDescent="0.25">
      <c r="A916" t="s">
        <v>326</v>
      </c>
      <c r="B916" t="s">
        <v>125</v>
      </c>
      <c r="C916" s="2">
        <f>HYPERLINK("https://svao.dolgi.msk.ru/account/1760175799/", 1760175799)</f>
        <v>1760175799</v>
      </c>
      <c r="D916">
        <v>4140.18</v>
      </c>
    </row>
    <row r="917" spans="1:4" x14ac:dyDescent="0.25">
      <c r="A917" t="s">
        <v>326</v>
      </c>
      <c r="B917" t="s">
        <v>82</v>
      </c>
      <c r="C917" s="2">
        <f>HYPERLINK("https://svao.dolgi.msk.ru/account/1760175895/", 1760175895)</f>
        <v>1760175895</v>
      </c>
      <c r="D917">
        <v>5310.89</v>
      </c>
    </row>
    <row r="918" spans="1:4" x14ac:dyDescent="0.25">
      <c r="A918" t="s">
        <v>326</v>
      </c>
      <c r="B918" t="s">
        <v>83</v>
      </c>
      <c r="C918" s="2">
        <f>HYPERLINK("https://svao.dolgi.msk.ru/account/1760175924/", 1760175924)</f>
        <v>1760175924</v>
      </c>
      <c r="D918">
        <v>27308.720000000001</v>
      </c>
    </row>
    <row r="919" spans="1:4" x14ac:dyDescent="0.25">
      <c r="A919" t="s">
        <v>326</v>
      </c>
      <c r="B919" t="s">
        <v>243</v>
      </c>
      <c r="C919" s="2">
        <f>HYPERLINK("https://svao.dolgi.msk.ru/account/1760176003/", 1760176003)</f>
        <v>1760176003</v>
      </c>
      <c r="D919">
        <v>3102.01</v>
      </c>
    </row>
    <row r="920" spans="1:4" x14ac:dyDescent="0.25">
      <c r="A920" t="s">
        <v>326</v>
      </c>
      <c r="B920" t="s">
        <v>29</v>
      </c>
      <c r="C920" s="2">
        <f>HYPERLINK("https://svao.dolgi.msk.ru/account/1760176062/", 1760176062)</f>
        <v>1760176062</v>
      </c>
      <c r="D920">
        <v>5046.45</v>
      </c>
    </row>
    <row r="921" spans="1:4" x14ac:dyDescent="0.25">
      <c r="A921" t="s">
        <v>326</v>
      </c>
      <c r="B921" t="s">
        <v>129</v>
      </c>
      <c r="C921" s="2">
        <f>HYPERLINK("https://svao.dolgi.msk.ru/account/1760176097/", 1760176097)</f>
        <v>1760176097</v>
      </c>
      <c r="D921">
        <v>1299.69</v>
      </c>
    </row>
    <row r="922" spans="1:4" x14ac:dyDescent="0.25">
      <c r="A922" t="s">
        <v>326</v>
      </c>
      <c r="B922" t="s">
        <v>30</v>
      </c>
      <c r="C922" s="2">
        <f>HYPERLINK("https://svao.dolgi.msk.ru/account/1760176118/", 1760176118)</f>
        <v>1760176118</v>
      </c>
      <c r="D922">
        <v>3093.67</v>
      </c>
    </row>
    <row r="923" spans="1:4" x14ac:dyDescent="0.25">
      <c r="A923" t="s">
        <v>326</v>
      </c>
      <c r="B923" t="s">
        <v>245</v>
      </c>
      <c r="C923" s="2">
        <f>HYPERLINK("https://svao.dolgi.msk.ru/account/1760176185/", 1760176185)</f>
        <v>1760176185</v>
      </c>
      <c r="D923">
        <v>269407.92</v>
      </c>
    </row>
    <row r="924" spans="1:4" x14ac:dyDescent="0.25">
      <c r="A924" t="s">
        <v>326</v>
      </c>
      <c r="B924" t="s">
        <v>32</v>
      </c>
      <c r="C924" s="2">
        <f>HYPERLINK("https://svao.dolgi.msk.ru/account/1760176193/", 1760176193)</f>
        <v>1760176193</v>
      </c>
      <c r="D924">
        <v>2732.89</v>
      </c>
    </row>
    <row r="925" spans="1:4" x14ac:dyDescent="0.25">
      <c r="A925" t="s">
        <v>326</v>
      </c>
      <c r="B925" t="s">
        <v>246</v>
      </c>
      <c r="C925" s="2">
        <f>HYPERLINK("https://svao.dolgi.msk.ru/account/1760176396/", 1760176396)</f>
        <v>1760176396</v>
      </c>
      <c r="D925">
        <v>3867.5</v>
      </c>
    </row>
    <row r="926" spans="1:4" x14ac:dyDescent="0.25">
      <c r="A926" t="s">
        <v>326</v>
      </c>
      <c r="B926" t="s">
        <v>89</v>
      </c>
      <c r="C926" s="2">
        <f>HYPERLINK("https://svao.dolgi.msk.ru/account/1760176441/", 1760176441)</f>
        <v>1760176441</v>
      </c>
      <c r="D926">
        <v>2333.54</v>
      </c>
    </row>
    <row r="927" spans="1:4" x14ac:dyDescent="0.25">
      <c r="A927" t="s">
        <v>326</v>
      </c>
      <c r="B927" t="s">
        <v>143</v>
      </c>
      <c r="C927" s="2">
        <f>HYPERLINK("https://svao.dolgi.msk.ru/account/1760176492/", 1760176492)</f>
        <v>1760176492</v>
      </c>
      <c r="D927">
        <v>10766.56</v>
      </c>
    </row>
    <row r="928" spans="1:4" x14ac:dyDescent="0.25">
      <c r="A928" t="s">
        <v>326</v>
      </c>
      <c r="B928" t="s">
        <v>45</v>
      </c>
      <c r="C928" s="2">
        <f>HYPERLINK("https://svao.dolgi.msk.ru/account/1760176505/", 1760176505)</f>
        <v>1760176505</v>
      </c>
      <c r="D928">
        <v>3118.97</v>
      </c>
    </row>
    <row r="929" spans="1:4" x14ac:dyDescent="0.25">
      <c r="A929" t="s">
        <v>326</v>
      </c>
      <c r="B929" t="s">
        <v>248</v>
      </c>
      <c r="C929" s="2">
        <f>HYPERLINK("https://svao.dolgi.msk.ru/account/1760176556/", 1760176556)</f>
        <v>1760176556</v>
      </c>
      <c r="D929">
        <v>1526.87</v>
      </c>
    </row>
    <row r="930" spans="1:4" x14ac:dyDescent="0.25">
      <c r="A930" t="s">
        <v>326</v>
      </c>
      <c r="B930" t="s">
        <v>47</v>
      </c>
      <c r="C930" s="2">
        <f>HYPERLINK("https://svao.dolgi.msk.ru/account/1760176628/", 1760176628)</f>
        <v>1760176628</v>
      </c>
      <c r="D930">
        <v>1430.72</v>
      </c>
    </row>
    <row r="931" spans="1:4" x14ac:dyDescent="0.25">
      <c r="A931" t="s">
        <v>326</v>
      </c>
      <c r="B931" t="s">
        <v>252</v>
      </c>
      <c r="C931" s="2">
        <f>HYPERLINK("https://svao.dolgi.msk.ru/account/1760176716/", 1760176716)</f>
        <v>1760176716</v>
      </c>
      <c r="D931">
        <v>5730.55</v>
      </c>
    </row>
    <row r="932" spans="1:4" x14ac:dyDescent="0.25">
      <c r="A932" t="s">
        <v>326</v>
      </c>
      <c r="B932" t="s">
        <v>148</v>
      </c>
      <c r="C932" s="2">
        <f>HYPERLINK("https://svao.dolgi.msk.ru/account/1760176812/", 1760176812)</f>
        <v>1760176812</v>
      </c>
      <c r="D932">
        <v>5654.8</v>
      </c>
    </row>
    <row r="933" spans="1:4" x14ac:dyDescent="0.25">
      <c r="A933" t="s">
        <v>326</v>
      </c>
      <c r="B933" t="s">
        <v>53</v>
      </c>
      <c r="C933" s="2">
        <f>HYPERLINK("https://svao.dolgi.msk.ru/account/1760176935/", 1760176935)</f>
        <v>1760176935</v>
      </c>
      <c r="D933">
        <v>316.92</v>
      </c>
    </row>
    <row r="934" spans="1:4" x14ac:dyDescent="0.25">
      <c r="A934" t="s">
        <v>326</v>
      </c>
      <c r="B934" t="s">
        <v>309</v>
      </c>
      <c r="C934" s="2">
        <f>HYPERLINK("https://svao.dolgi.msk.ru/account/1760176994/", 1760176994)</f>
        <v>1760176994</v>
      </c>
      <c r="D934">
        <v>3011.19</v>
      </c>
    </row>
    <row r="935" spans="1:4" x14ac:dyDescent="0.25">
      <c r="A935" t="s">
        <v>326</v>
      </c>
      <c r="B935" t="s">
        <v>298</v>
      </c>
      <c r="C935" s="2">
        <f>HYPERLINK("https://svao.dolgi.msk.ru/account/1760177065/", 1760177065)</f>
        <v>1760177065</v>
      </c>
      <c r="D935">
        <v>8103.38</v>
      </c>
    </row>
    <row r="936" spans="1:4" x14ac:dyDescent="0.25">
      <c r="A936" t="s">
        <v>326</v>
      </c>
      <c r="B936" t="s">
        <v>327</v>
      </c>
      <c r="C936" s="2">
        <f>HYPERLINK("https://svao.dolgi.msk.ru/account/1760177081/", 1760177081)</f>
        <v>1760177081</v>
      </c>
      <c r="D936">
        <v>5663.24</v>
      </c>
    </row>
    <row r="937" spans="1:4" x14ac:dyDescent="0.25">
      <c r="A937" t="s">
        <v>326</v>
      </c>
      <c r="B937" t="s">
        <v>328</v>
      </c>
      <c r="C937" s="2">
        <f>HYPERLINK("https://svao.dolgi.msk.ru/account/1760177137/", 1760177137)</f>
        <v>1760177137</v>
      </c>
      <c r="D937">
        <v>1689.74</v>
      </c>
    </row>
    <row r="938" spans="1:4" x14ac:dyDescent="0.25">
      <c r="A938" t="s">
        <v>329</v>
      </c>
      <c r="B938" t="s">
        <v>6</v>
      </c>
      <c r="C938" s="2">
        <f>HYPERLINK("https://svao.dolgi.msk.ru/account/1760253187/", 1760253187)</f>
        <v>1760253187</v>
      </c>
      <c r="D938">
        <v>7613.45</v>
      </c>
    </row>
    <row r="939" spans="1:4" x14ac:dyDescent="0.25">
      <c r="A939" t="s">
        <v>329</v>
      </c>
      <c r="B939" t="s">
        <v>7</v>
      </c>
      <c r="C939" s="2">
        <f>HYPERLINK("https://svao.dolgi.msk.ru/account/1760253259/", 1760253259)</f>
        <v>1760253259</v>
      </c>
      <c r="D939">
        <v>243.85</v>
      </c>
    </row>
    <row r="940" spans="1:4" x14ac:dyDescent="0.25">
      <c r="A940" t="s">
        <v>329</v>
      </c>
      <c r="B940" t="s">
        <v>104</v>
      </c>
      <c r="C940" s="2">
        <f>HYPERLINK("https://svao.dolgi.msk.ru/account/1760177292/", 1760177292)</f>
        <v>1760177292</v>
      </c>
      <c r="D940">
        <v>285335.13</v>
      </c>
    </row>
    <row r="941" spans="1:4" x14ac:dyDescent="0.25">
      <c r="A941" t="s">
        <v>329</v>
      </c>
      <c r="B941" t="s">
        <v>74</v>
      </c>
      <c r="C941" s="2">
        <f>HYPERLINK("https://svao.dolgi.msk.ru/account/1760177313/", 1760177313)</f>
        <v>1760177313</v>
      </c>
      <c r="D941">
        <v>25844.79</v>
      </c>
    </row>
    <row r="942" spans="1:4" x14ac:dyDescent="0.25">
      <c r="A942" t="s">
        <v>330</v>
      </c>
      <c r="B942" t="s">
        <v>6</v>
      </c>
      <c r="C942" s="2">
        <f>HYPERLINK("https://svao.dolgi.msk.ru/account/1760188776/", 1760188776)</f>
        <v>1760188776</v>
      </c>
      <c r="D942">
        <v>251935.74</v>
      </c>
    </row>
    <row r="943" spans="1:4" x14ac:dyDescent="0.25">
      <c r="A943" t="s">
        <v>330</v>
      </c>
      <c r="B943" t="s">
        <v>41</v>
      </c>
      <c r="C943" s="2">
        <f>HYPERLINK("https://svao.dolgi.msk.ru/account/1760188784/", 1760188784)</f>
        <v>1760188784</v>
      </c>
      <c r="D943">
        <v>4879.04</v>
      </c>
    </row>
    <row r="944" spans="1:4" x14ac:dyDescent="0.25">
      <c r="A944" t="s">
        <v>330</v>
      </c>
      <c r="B944" t="s">
        <v>74</v>
      </c>
      <c r="C944" s="2">
        <f>HYPERLINK("https://svao.dolgi.msk.ru/account/1760188901/", 1760188901)</f>
        <v>1760188901</v>
      </c>
      <c r="D944">
        <v>4201.3</v>
      </c>
    </row>
    <row r="945" spans="1:4" x14ac:dyDescent="0.25">
      <c r="A945" t="s">
        <v>330</v>
      </c>
      <c r="B945" t="s">
        <v>137</v>
      </c>
      <c r="C945" s="2">
        <f>HYPERLINK("https://svao.dolgi.msk.ru/account/1760188928/", 1760188928)</f>
        <v>1760188928</v>
      </c>
      <c r="D945">
        <v>12099.78</v>
      </c>
    </row>
    <row r="946" spans="1:4" x14ac:dyDescent="0.25">
      <c r="A946" t="s">
        <v>330</v>
      </c>
      <c r="B946" t="s">
        <v>106</v>
      </c>
      <c r="C946" s="2">
        <f>HYPERLINK("https://svao.dolgi.msk.ru/account/1760189031/", 1760189031)</f>
        <v>1760189031</v>
      </c>
      <c r="D946">
        <v>3116.35</v>
      </c>
    </row>
    <row r="947" spans="1:4" x14ac:dyDescent="0.25">
      <c r="A947" t="s">
        <v>330</v>
      </c>
      <c r="B947" t="s">
        <v>18</v>
      </c>
      <c r="C947" s="2">
        <f>HYPERLINK("https://svao.dolgi.msk.ru/account/1760189111/", 1760189111)</f>
        <v>1760189111</v>
      </c>
      <c r="D947">
        <v>5281.24</v>
      </c>
    </row>
    <row r="948" spans="1:4" x14ac:dyDescent="0.25">
      <c r="A948" t="s">
        <v>330</v>
      </c>
      <c r="B948" t="s">
        <v>94</v>
      </c>
      <c r="C948" s="2">
        <f>HYPERLINK("https://svao.dolgi.msk.ru/account/1760189242/", 1760189242)</f>
        <v>1760189242</v>
      </c>
      <c r="D948">
        <v>2696.32</v>
      </c>
    </row>
    <row r="949" spans="1:4" x14ac:dyDescent="0.25">
      <c r="A949" t="s">
        <v>330</v>
      </c>
      <c r="B949" t="s">
        <v>112</v>
      </c>
      <c r="C949" s="2">
        <f>HYPERLINK("https://svao.dolgi.msk.ru/account/1760189269/", 1760189269)</f>
        <v>1760189269</v>
      </c>
      <c r="D949">
        <v>3065.33</v>
      </c>
    </row>
    <row r="950" spans="1:4" x14ac:dyDescent="0.25">
      <c r="A950" t="s">
        <v>330</v>
      </c>
      <c r="B950" t="s">
        <v>77</v>
      </c>
      <c r="C950" s="2">
        <f>HYPERLINK("https://svao.dolgi.msk.ru/account/1760189293/", 1760189293)</f>
        <v>1760189293</v>
      </c>
      <c r="D950">
        <v>4899.95</v>
      </c>
    </row>
    <row r="951" spans="1:4" x14ac:dyDescent="0.25">
      <c r="A951" t="s">
        <v>330</v>
      </c>
      <c r="B951" t="s">
        <v>114</v>
      </c>
      <c r="C951" s="2">
        <f>HYPERLINK("https://svao.dolgi.msk.ru/account/1760189306/", 1760189306)</f>
        <v>1760189306</v>
      </c>
      <c r="D951">
        <v>14137.69</v>
      </c>
    </row>
    <row r="952" spans="1:4" x14ac:dyDescent="0.25">
      <c r="A952" t="s">
        <v>330</v>
      </c>
      <c r="B952" t="s">
        <v>242</v>
      </c>
      <c r="C952" s="2">
        <f>HYPERLINK("https://svao.dolgi.msk.ru/account/1760189445/", 1760189445)</f>
        <v>1760189445</v>
      </c>
      <c r="D952">
        <v>559.28</v>
      </c>
    </row>
    <row r="953" spans="1:4" x14ac:dyDescent="0.25">
      <c r="A953" t="s">
        <v>330</v>
      </c>
      <c r="B953" t="s">
        <v>131</v>
      </c>
      <c r="C953" s="2">
        <f>HYPERLINK("https://svao.dolgi.msk.ru/account/1760189461/", 1760189461)</f>
        <v>1760189461</v>
      </c>
      <c r="D953">
        <v>4182.09</v>
      </c>
    </row>
    <row r="954" spans="1:4" x14ac:dyDescent="0.25">
      <c r="A954" t="s">
        <v>330</v>
      </c>
      <c r="B954" t="s">
        <v>119</v>
      </c>
      <c r="C954" s="2">
        <f>HYPERLINK("https://svao.dolgi.msk.ru/account/1760189541/", 1760189541)</f>
        <v>1760189541</v>
      </c>
      <c r="D954">
        <v>18318.650000000001</v>
      </c>
    </row>
    <row r="955" spans="1:4" x14ac:dyDescent="0.25">
      <c r="A955" t="s">
        <v>330</v>
      </c>
      <c r="B955" t="s">
        <v>133</v>
      </c>
      <c r="C955" s="2">
        <f>HYPERLINK("https://svao.dolgi.msk.ru/account/1760189648/", 1760189648)</f>
        <v>1760189648</v>
      </c>
      <c r="D955">
        <v>4784.63</v>
      </c>
    </row>
    <row r="956" spans="1:4" x14ac:dyDescent="0.25">
      <c r="A956" t="s">
        <v>330</v>
      </c>
      <c r="B956" t="s">
        <v>27</v>
      </c>
      <c r="C956" s="2">
        <f>HYPERLINK("https://svao.dolgi.msk.ru/account/1760189664/", 1760189664)</f>
        <v>1760189664</v>
      </c>
      <c r="D956">
        <v>24515.93</v>
      </c>
    </row>
    <row r="957" spans="1:4" x14ac:dyDescent="0.25">
      <c r="A957" t="s">
        <v>330</v>
      </c>
      <c r="B957" t="s">
        <v>28</v>
      </c>
      <c r="C957" s="2">
        <f>HYPERLINK("https://svao.dolgi.msk.ru/account/1760189744/", 1760189744)</f>
        <v>1760189744</v>
      </c>
      <c r="D957">
        <v>3482.03</v>
      </c>
    </row>
    <row r="958" spans="1:4" x14ac:dyDescent="0.25">
      <c r="A958" t="s">
        <v>330</v>
      </c>
      <c r="B958" t="s">
        <v>244</v>
      </c>
      <c r="C958" s="2">
        <f>HYPERLINK("https://svao.dolgi.msk.ru/account/1760189779/", 1760189779)</f>
        <v>1760189779</v>
      </c>
      <c r="D958">
        <v>2721.23</v>
      </c>
    </row>
    <row r="959" spans="1:4" x14ac:dyDescent="0.25">
      <c r="A959" t="s">
        <v>330</v>
      </c>
      <c r="B959" t="s">
        <v>129</v>
      </c>
      <c r="C959" s="2">
        <f>HYPERLINK("https://svao.dolgi.msk.ru/account/1760189787/", 1760189787)</f>
        <v>1760189787</v>
      </c>
      <c r="D959">
        <v>4517.7299999999996</v>
      </c>
    </row>
    <row r="960" spans="1:4" x14ac:dyDescent="0.25">
      <c r="A960" t="s">
        <v>330</v>
      </c>
      <c r="B960" t="s">
        <v>32</v>
      </c>
      <c r="C960" s="2">
        <f>HYPERLINK("https://svao.dolgi.msk.ru/account/1760189875/", 1760189875)</f>
        <v>1760189875</v>
      </c>
      <c r="D960">
        <v>3276.11</v>
      </c>
    </row>
    <row r="961" spans="1:4" x14ac:dyDescent="0.25">
      <c r="A961" t="s">
        <v>330</v>
      </c>
      <c r="B961" t="s">
        <v>87</v>
      </c>
      <c r="C961" s="2">
        <f>HYPERLINK("https://svao.dolgi.msk.ru/account/1760189971/", 1760189971)</f>
        <v>1760189971</v>
      </c>
      <c r="D961">
        <v>2569.06</v>
      </c>
    </row>
    <row r="962" spans="1:4" x14ac:dyDescent="0.25">
      <c r="A962" t="s">
        <v>330</v>
      </c>
      <c r="B962" t="s">
        <v>36</v>
      </c>
      <c r="C962" s="2">
        <f>HYPERLINK("https://svao.dolgi.msk.ru/account/1760189998/", 1760189998)</f>
        <v>1760189998</v>
      </c>
      <c r="D962">
        <v>8942.19</v>
      </c>
    </row>
    <row r="963" spans="1:4" x14ac:dyDescent="0.25">
      <c r="A963" t="s">
        <v>330</v>
      </c>
      <c r="B963" t="s">
        <v>88</v>
      </c>
      <c r="C963" s="2">
        <f>HYPERLINK("https://svao.dolgi.msk.ru/account/1760190016/", 1760190016)</f>
        <v>1760190016</v>
      </c>
      <c r="D963">
        <v>5840.04</v>
      </c>
    </row>
    <row r="964" spans="1:4" x14ac:dyDescent="0.25">
      <c r="A964" t="s">
        <v>330</v>
      </c>
      <c r="B964" t="s">
        <v>293</v>
      </c>
      <c r="C964" s="2">
        <f>HYPERLINK("https://svao.dolgi.msk.ru/account/1760190024/", 1760190024)</f>
        <v>1760190024</v>
      </c>
      <c r="D964">
        <v>4486.78</v>
      </c>
    </row>
    <row r="965" spans="1:4" x14ac:dyDescent="0.25">
      <c r="A965" t="s">
        <v>330</v>
      </c>
      <c r="B965" t="s">
        <v>37</v>
      </c>
      <c r="C965" s="2">
        <f>HYPERLINK("https://svao.dolgi.msk.ru/account/1760190059/", 1760190059)</f>
        <v>1760190059</v>
      </c>
      <c r="D965">
        <v>5321.81</v>
      </c>
    </row>
    <row r="966" spans="1:4" x14ac:dyDescent="0.25">
      <c r="A966" t="s">
        <v>330</v>
      </c>
      <c r="B966" t="s">
        <v>246</v>
      </c>
      <c r="C966" s="2">
        <f>HYPERLINK("https://svao.dolgi.msk.ru/account/1760190075/", 1760190075)</f>
        <v>1760190075</v>
      </c>
      <c r="D966">
        <v>1690.03</v>
      </c>
    </row>
    <row r="967" spans="1:4" x14ac:dyDescent="0.25">
      <c r="A967" t="s">
        <v>330</v>
      </c>
      <c r="B967" t="s">
        <v>140</v>
      </c>
      <c r="C967" s="2">
        <f>HYPERLINK("https://svao.dolgi.msk.ru/account/1760190104/", 1760190104)</f>
        <v>1760190104</v>
      </c>
      <c r="D967">
        <v>12257.16</v>
      </c>
    </row>
    <row r="968" spans="1:4" x14ac:dyDescent="0.25">
      <c r="A968" t="s">
        <v>330</v>
      </c>
      <c r="B968" t="s">
        <v>44</v>
      </c>
      <c r="C968" s="2">
        <f>HYPERLINK("https://svao.dolgi.msk.ru/account/1760190112/", 1760190112)</f>
        <v>1760190112</v>
      </c>
      <c r="D968">
        <v>5362.09</v>
      </c>
    </row>
    <row r="969" spans="1:4" x14ac:dyDescent="0.25">
      <c r="A969" t="s">
        <v>330</v>
      </c>
      <c r="B969" t="s">
        <v>143</v>
      </c>
      <c r="C969" s="2">
        <f>HYPERLINK("https://svao.dolgi.msk.ru/account/1760190171/", 1760190171)</f>
        <v>1760190171</v>
      </c>
      <c r="D969">
        <v>2220.58</v>
      </c>
    </row>
    <row r="970" spans="1:4" x14ac:dyDescent="0.25">
      <c r="A970" t="s">
        <v>330</v>
      </c>
      <c r="B970" t="s">
        <v>249</v>
      </c>
      <c r="C970" s="2">
        <f>HYPERLINK("https://svao.dolgi.msk.ru/account/1760190286/", 1760190286)</f>
        <v>1760190286</v>
      </c>
      <c r="D970">
        <v>4263.8500000000004</v>
      </c>
    </row>
    <row r="971" spans="1:4" x14ac:dyDescent="0.25">
      <c r="A971" t="s">
        <v>330</v>
      </c>
      <c r="B971" t="s">
        <v>48</v>
      </c>
      <c r="C971" s="2">
        <f>HYPERLINK("https://svao.dolgi.msk.ru/account/1760190331/", 1760190331)</f>
        <v>1760190331</v>
      </c>
      <c r="D971">
        <v>14724.53</v>
      </c>
    </row>
    <row r="972" spans="1:4" x14ac:dyDescent="0.25">
      <c r="A972" t="s">
        <v>330</v>
      </c>
      <c r="B972" t="s">
        <v>51</v>
      </c>
      <c r="C972" s="2">
        <f>HYPERLINK("https://svao.dolgi.msk.ru/account/1760190446/", 1760190446)</f>
        <v>1760190446</v>
      </c>
      <c r="D972">
        <v>7647.8</v>
      </c>
    </row>
    <row r="973" spans="1:4" x14ac:dyDescent="0.25">
      <c r="A973" t="s">
        <v>330</v>
      </c>
      <c r="B973" t="s">
        <v>331</v>
      </c>
      <c r="C973" s="2">
        <f>HYPERLINK("https://svao.dolgi.msk.ru/account/1760190462/", 1760190462)</f>
        <v>1760190462</v>
      </c>
      <c r="D973">
        <v>4052.81</v>
      </c>
    </row>
    <row r="974" spans="1:4" x14ac:dyDescent="0.25">
      <c r="A974" t="s">
        <v>332</v>
      </c>
      <c r="B974" t="s">
        <v>6</v>
      </c>
      <c r="C974" s="2">
        <f>HYPERLINK("https://svao.dolgi.msk.ru/account/1760182251/", 1760182251)</f>
        <v>1760182251</v>
      </c>
      <c r="D974">
        <v>5604.31</v>
      </c>
    </row>
    <row r="975" spans="1:4" x14ac:dyDescent="0.25">
      <c r="A975" t="s">
        <v>332</v>
      </c>
      <c r="B975" t="s">
        <v>7</v>
      </c>
      <c r="C975" s="2">
        <f>HYPERLINK("https://svao.dolgi.msk.ru/account/1760182294/", 1760182294)</f>
        <v>1760182294</v>
      </c>
      <c r="D975">
        <v>3893.33</v>
      </c>
    </row>
    <row r="976" spans="1:4" x14ac:dyDescent="0.25">
      <c r="A976" t="s">
        <v>332</v>
      </c>
      <c r="B976" t="s">
        <v>101</v>
      </c>
      <c r="C976" s="2">
        <f>HYPERLINK("https://svao.dolgi.msk.ru/account/1760182307/", 1760182307)</f>
        <v>1760182307</v>
      </c>
      <c r="D976">
        <v>3557.21</v>
      </c>
    </row>
    <row r="977" spans="1:4" x14ac:dyDescent="0.25">
      <c r="A977" t="s">
        <v>332</v>
      </c>
      <c r="B977" t="s">
        <v>102</v>
      </c>
      <c r="C977" s="2">
        <f>HYPERLINK("https://svao.dolgi.msk.ru/account/1760182323/", 1760182323)</f>
        <v>1760182323</v>
      </c>
      <c r="D977">
        <v>1866.65</v>
      </c>
    </row>
    <row r="978" spans="1:4" x14ac:dyDescent="0.25">
      <c r="A978" t="s">
        <v>332</v>
      </c>
      <c r="B978" t="s">
        <v>137</v>
      </c>
      <c r="C978" s="2">
        <f>HYPERLINK("https://svao.dolgi.msk.ru/account/1760182403/", 1760182403)</f>
        <v>1760182403</v>
      </c>
      <c r="D978">
        <v>5915.74</v>
      </c>
    </row>
    <row r="979" spans="1:4" x14ac:dyDescent="0.25">
      <c r="A979" t="s">
        <v>332</v>
      </c>
      <c r="B979" t="s">
        <v>91</v>
      </c>
      <c r="C979" s="2">
        <f>HYPERLINK("https://svao.dolgi.msk.ru/account/1760182446/", 1760182446)</f>
        <v>1760182446</v>
      </c>
      <c r="D979">
        <v>2676.01</v>
      </c>
    </row>
    <row r="980" spans="1:4" x14ac:dyDescent="0.25">
      <c r="A980" t="s">
        <v>332</v>
      </c>
      <c r="B980" t="s">
        <v>11</v>
      </c>
      <c r="C980" s="2">
        <f>HYPERLINK("https://svao.dolgi.msk.ru/account/1760182489/", 1760182489)</f>
        <v>1760182489</v>
      </c>
      <c r="D980">
        <v>4896.42</v>
      </c>
    </row>
    <row r="981" spans="1:4" x14ac:dyDescent="0.25">
      <c r="A981" t="s">
        <v>332</v>
      </c>
      <c r="B981" t="s">
        <v>12</v>
      </c>
      <c r="C981" s="2">
        <f>HYPERLINK("https://svao.dolgi.msk.ru/account/1760182497/", 1760182497)</f>
        <v>1760182497</v>
      </c>
      <c r="D981">
        <v>7999.78</v>
      </c>
    </row>
    <row r="982" spans="1:4" x14ac:dyDescent="0.25">
      <c r="A982" t="s">
        <v>332</v>
      </c>
      <c r="B982" t="s">
        <v>19</v>
      </c>
      <c r="C982" s="2">
        <f>HYPERLINK("https://svao.dolgi.msk.ru/account/1760182614/", 1760182614)</f>
        <v>1760182614</v>
      </c>
      <c r="D982">
        <v>3809.1</v>
      </c>
    </row>
    <row r="983" spans="1:4" x14ac:dyDescent="0.25">
      <c r="A983" t="s">
        <v>332</v>
      </c>
      <c r="B983" t="s">
        <v>76</v>
      </c>
      <c r="C983" s="2">
        <f>HYPERLINK("https://svao.dolgi.msk.ru/account/1760182657/", 1760182657)</f>
        <v>1760182657</v>
      </c>
      <c r="D983">
        <v>5736.14</v>
      </c>
    </row>
    <row r="984" spans="1:4" x14ac:dyDescent="0.25">
      <c r="A984" t="s">
        <v>332</v>
      </c>
      <c r="B984" t="s">
        <v>93</v>
      </c>
      <c r="C984" s="2">
        <f>HYPERLINK("https://svao.dolgi.msk.ru/account/1760182673/", 1760182673)</f>
        <v>1760182673</v>
      </c>
      <c r="D984">
        <v>205437.92</v>
      </c>
    </row>
    <row r="985" spans="1:4" x14ac:dyDescent="0.25">
      <c r="A985" t="s">
        <v>332</v>
      </c>
      <c r="B985" t="s">
        <v>78</v>
      </c>
      <c r="C985" s="2">
        <f>HYPERLINK("https://svao.dolgi.msk.ru/account/1760182788/", 1760182788)</f>
        <v>1760182788</v>
      </c>
      <c r="D985">
        <v>638.91</v>
      </c>
    </row>
    <row r="986" spans="1:4" x14ac:dyDescent="0.25">
      <c r="A986" t="s">
        <v>332</v>
      </c>
      <c r="B986" t="s">
        <v>24</v>
      </c>
      <c r="C986" s="2">
        <f>HYPERLINK("https://svao.dolgi.msk.ru/account/1760182876/", 1760182876)</f>
        <v>1760182876</v>
      </c>
      <c r="D986">
        <v>4129.76</v>
      </c>
    </row>
    <row r="987" spans="1:4" x14ac:dyDescent="0.25">
      <c r="A987" t="s">
        <v>332</v>
      </c>
      <c r="B987" t="s">
        <v>314</v>
      </c>
      <c r="C987" s="2">
        <f>HYPERLINK("https://svao.dolgi.msk.ru/account/1760182884/", 1760182884)</f>
        <v>1760182884</v>
      </c>
      <c r="D987">
        <v>1728.98</v>
      </c>
    </row>
    <row r="988" spans="1:4" x14ac:dyDescent="0.25">
      <c r="A988" t="s">
        <v>332</v>
      </c>
      <c r="B988" t="s">
        <v>131</v>
      </c>
      <c r="C988" s="2">
        <f>HYPERLINK("https://svao.dolgi.msk.ru/account/1760182913/", 1760182913)</f>
        <v>1760182913</v>
      </c>
      <c r="D988">
        <v>3164.39</v>
      </c>
    </row>
    <row r="989" spans="1:4" x14ac:dyDescent="0.25">
      <c r="A989" t="s">
        <v>332</v>
      </c>
      <c r="B989" t="s">
        <v>81</v>
      </c>
      <c r="C989" s="2">
        <f>HYPERLINK("https://svao.dolgi.msk.ru/account/1760182972/", 1760182972)</f>
        <v>1760182972</v>
      </c>
      <c r="D989">
        <v>1447.95</v>
      </c>
    </row>
    <row r="990" spans="1:4" x14ac:dyDescent="0.25">
      <c r="A990" t="s">
        <v>332</v>
      </c>
      <c r="B990" t="s">
        <v>119</v>
      </c>
      <c r="C990" s="2">
        <f>HYPERLINK("https://svao.dolgi.msk.ru/account/1760182999/", 1760182999)</f>
        <v>1760182999</v>
      </c>
      <c r="D990">
        <v>4258.08</v>
      </c>
    </row>
    <row r="991" spans="1:4" x14ac:dyDescent="0.25">
      <c r="A991" t="s">
        <v>332</v>
      </c>
      <c r="B991" t="s">
        <v>25</v>
      </c>
      <c r="C991" s="2">
        <f>HYPERLINK("https://svao.dolgi.msk.ru/account/1760183043/", 1760183043)</f>
        <v>1760183043</v>
      </c>
      <c r="D991">
        <v>2424.6799999999998</v>
      </c>
    </row>
    <row r="992" spans="1:4" x14ac:dyDescent="0.25">
      <c r="A992" t="s">
        <v>332</v>
      </c>
      <c r="B992" t="s">
        <v>83</v>
      </c>
      <c r="C992" s="2">
        <f>HYPERLINK("https://svao.dolgi.msk.ru/account/1760183051/", 1760183051)</f>
        <v>1760183051</v>
      </c>
      <c r="D992">
        <v>4120.2700000000004</v>
      </c>
    </row>
    <row r="993" spans="1:4" x14ac:dyDescent="0.25">
      <c r="A993" t="s">
        <v>332</v>
      </c>
      <c r="B993" t="s">
        <v>96</v>
      </c>
      <c r="C993" s="2">
        <f>HYPERLINK("https://svao.dolgi.msk.ru/account/1760183107/", 1760183107)</f>
        <v>1760183107</v>
      </c>
      <c r="D993">
        <v>337212.42</v>
      </c>
    </row>
    <row r="994" spans="1:4" x14ac:dyDescent="0.25">
      <c r="A994" t="s">
        <v>332</v>
      </c>
      <c r="B994" t="s">
        <v>134</v>
      </c>
      <c r="C994" s="2">
        <f>HYPERLINK("https://svao.dolgi.msk.ru/account/1760183166/", 1760183166)</f>
        <v>1760183166</v>
      </c>
      <c r="D994">
        <v>4564.13</v>
      </c>
    </row>
    <row r="995" spans="1:4" x14ac:dyDescent="0.25">
      <c r="A995" t="s">
        <v>332</v>
      </c>
      <c r="B995" t="s">
        <v>28</v>
      </c>
      <c r="C995" s="2">
        <f>HYPERLINK("https://svao.dolgi.msk.ru/account/1760183182/", 1760183182)</f>
        <v>1760183182</v>
      </c>
      <c r="D995">
        <v>2599.8000000000002</v>
      </c>
    </row>
    <row r="996" spans="1:4" x14ac:dyDescent="0.25">
      <c r="A996" t="s">
        <v>332</v>
      </c>
      <c r="B996" t="s">
        <v>84</v>
      </c>
      <c r="C996" s="2">
        <f>HYPERLINK("https://svao.dolgi.msk.ru/account/1760183262/", 1760183262)</f>
        <v>1760183262</v>
      </c>
      <c r="D996">
        <v>5568.63</v>
      </c>
    </row>
    <row r="997" spans="1:4" x14ac:dyDescent="0.25">
      <c r="A997" t="s">
        <v>332</v>
      </c>
      <c r="B997" t="s">
        <v>98</v>
      </c>
      <c r="C997" s="2">
        <f>HYPERLINK("https://svao.dolgi.msk.ru/account/1760183297/", 1760183297)</f>
        <v>1760183297</v>
      </c>
      <c r="D997">
        <v>313968.83</v>
      </c>
    </row>
    <row r="998" spans="1:4" x14ac:dyDescent="0.25">
      <c r="A998" t="s">
        <v>332</v>
      </c>
      <c r="B998" t="s">
        <v>33</v>
      </c>
      <c r="C998" s="2">
        <f>HYPERLINK("https://svao.dolgi.msk.ru/account/1760183369/", 1760183369)</f>
        <v>1760183369</v>
      </c>
      <c r="D998">
        <v>3283.95</v>
      </c>
    </row>
    <row r="999" spans="1:4" x14ac:dyDescent="0.25">
      <c r="A999" t="s">
        <v>332</v>
      </c>
      <c r="B999" t="s">
        <v>35</v>
      </c>
      <c r="C999" s="2">
        <f>HYPERLINK("https://svao.dolgi.msk.ru/account/1760183385/", 1760183385)</f>
        <v>1760183385</v>
      </c>
      <c r="D999">
        <v>6885.03</v>
      </c>
    </row>
    <row r="1000" spans="1:4" x14ac:dyDescent="0.25">
      <c r="A1000" t="s">
        <v>332</v>
      </c>
      <c r="B1000" t="s">
        <v>99</v>
      </c>
      <c r="C1000" s="2">
        <f>HYPERLINK("https://svao.dolgi.msk.ru/account/1760183393/", 1760183393)</f>
        <v>1760183393</v>
      </c>
      <c r="D1000">
        <v>5212.78</v>
      </c>
    </row>
    <row r="1001" spans="1:4" x14ac:dyDescent="0.25">
      <c r="A1001" t="s">
        <v>332</v>
      </c>
      <c r="B1001" t="s">
        <v>135</v>
      </c>
      <c r="C1001" s="2">
        <f>HYPERLINK("https://svao.dolgi.msk.ru/account/1760183406/", 1760183406)</f>
        <v>1760183406</v>
      </c>
      <c r="D1001">
        <v>4965.76</v>
      </c>
    </row>
    <row r="1002" spans="1:4" x14ac:dyDescent="0.25">
      <c r="A1002" t="s">
        <v>332</v>
      </c>
      <c r="B1002" t="s">
        <v>333</v>
      </c>
      <c r="C1002" s="2">
        <f>HYPERLINK("https://svao.dolgi.msk.ru/account/1760183422/", 1760183422)</f>
        <v>1760183422</v>
      </c>
      <c r="D1002">
        <v>5568.47</v>
      </c>
    </row>
    <row r="1003" spans="1:4" x14ac:dyDescent="0.25">
      <c r="A1003" t="s">
        <v>332</v>
      </c>
      <c r="B1003" t="s">
        <v>36</v>
      </c>
      <c r="C1003" s="2">
        <f>HYPERLINK("https://svao.dolgi.msk.ru/account/1760183457/", 1760183457)</f>
        <v>1760183457</v>
      </c>
      <c r="D1003">
        <v>1931.53</v>
      </c>
    </row>
    <row r="1004" spans="1:4" x14ac:dyDescent="0.25">
      <c r="A1004" t="s">
        <v>332</v>
      </c>
      <c r="B1004" t="s">
        <v>38</v>
      </c>
      <c r="C1004" s="2">
        <f>HYPERLINK("https://svao.dolgi.msk.ru/account/1760183529/", 1760183529)</f>
        <v>1760183529</v>
      </c>
      <c r="D1004">
        <v>5015.7</v>
      </c>
    </row>
    <row r="1005" spans="1:4" x14ac:dyDescent="0.25">
      <c r="A1005" t="s">
        <v>332</v>
      </c>
      <c r="B1005" t="s">
        <v>247</v>
      </c>
      <c r="C1005" s="2">
        <f>HYPERLINK("https://svao.dolgi.msk.ru/account/1760183617/", 1760183617)</f>
        <v>1760183617</v>
      </c>
      <c r="D1005">
        <v>4175.8900000000003</v>
      </c>
    </row>
    <row r="1006" spans="1:4" x14ac:dyDescent="0.25">
      <c r="A1006" t="s">
        <v>332</v>
      </c>
      <c r="B1006" t="s">
        <v>248</v>
      </c>
      <c r="C1006" s="2">
        <f>HYPERLINK("https://svao.dolgi.msk.ru/account/1760183692/", 1760183692)</f>
        <v>1760183692</v>
      </c>
      <c r="D1006">
        <v>5793.8</v>
      </c>
    </row>
    <row r="1007" spans="1:4" x14ac:dyDescent="0.25">
      <c r="A1007" t="s">
        <v>332</v>
      </c>
      <c r="B1007" t="s">
        <v>249</v>
      </c>
      <c r="C1007" s="2">
        <f>HYPERLINK("https://svao.dolgi.msk.ru/account/1760183721/", 1760183721)</f>
        <v>1760183721</v>
      </c>
      <c r="D1007">
        <v>1011.05</v>
      </c>
    </row>
    <row r="1008" spans="1:4" x14ac:dyDescent="0.25">
      <c r="A1008" t="s">
        <v>332</v>
      </c>
      <c r="B1008" t="s">
        <v>48</v>
      </c>
      <c r="C1008" s="2">
        <f>HYPERLINK("https://svao.dolgi.msk.ru/account/1760183799/", 1760183799)</f>
        <v>1760183799</v>
      </c>
      <c r="D1008">
        <v>4886.32</v>
      </c>
    </row>
    <row r="1009" spans="1:4" x14ac:dyDescent="0.25">
      <c r="A1009" t="s">
        <v>332</v>
      </c>
      <c r="B1009" t="s">
        <v>49</v>
      </c>
      <c r="C1009" s="2">
        <f>HYPERLINK("https://svao.dolgi.msk.ru/account/1760183801/", 1760183801)</f>
        <v>1760183801</v>
      </c>
      <c r="D1009">
        <v>3820.24</v>
      </c>
    </row>
    <row r="1010" spans="1:4" x14ac:dyDescent="0.25">
      <c r="A1010" t="s">
        <v>332</v>
      </c>
      <c r="B1010" t="s">
        <v>251</v>
      </c>
      <c r="C1010" s="2">
        <f>HYPERLINK("https://svao.dolgi.msk.ru/account/1760183844/", 1760183844)</f>
        <v>1760183844</v>
      </c>
      <c r="D1010">
        <v>3179.19</v>
      </c>
    </row>
    <row r="1011" spans="1:4" x14ac:dyDescent="0.25">
      <c r="A1011" t="s">
        <v>332</v>
      </c>
      <c r="B1011" t="s">
        <v>51</v>
      </c>
      <c r="C1011" s="2">
        <f>HYPERLINK("https://svao.dolgi.msk.ru/account/1760183895/", 1760183895)</f>
        <v>1760183895</v>
      </c>
      <c r="D1011">
        <v>20444.47</v>
      </c>
    </row>
    <row r="1012" spans="1:4" x14ac:dyDescent="0.25">
      <c r="A1012" t="s">
        <v>332</v>
      </c>
      <c r="B1012" t="s">
        <v>51</v>
      </c>
      <c r="C1012" s="2">
        <f>HYPERLINK("https://svao.dolgi.msk.ru/account/1761792289/", 1761792289)</f>
        <v>1761792289</v>
      </c>
      <c r="D1012">
        <v>6943.86</v>
      </c>
    </row>
    <row r="1013" spans="1:4" x14ac:dyDescent="0.25">
      <c r="A1013" t="s">
        <v>332</v>
      </c>
      <c r="B1013" t="s">
        <v>334</v>
      </c>
      <c r="C1013" s="2">
        <f>HYPERLINK("https://svao.dolgi.msk.ru/account/1760183908/", 1760183908)</f>
        <v>1760183908</v>
      </c>
      <c r="D1013">
        <v>4484.46</v>
      </c>
    </row>
    <row r="1014" spans="1:4" x14ac:dyDescent="0.25">
      <c r="A1014" t="s">
        <v>332</v>
      </c>
      <c r="B1014" t="s">
        <v>52</v>
      </c>
      <c r="C1014" s="2">
        <f>HYPERLINK("https://svao.dolgi.msk.ru/account/1760183924/", 1760183924)</f>
        <v>1760183924</v>
      </c>
      <c r="D1014">
        <v>3514.19</v>
      </c>
    </row>
    <row r="1015" spans="1:4" x14ac:dyDescent="0.25">
      <c r="A1015" t="s">
        <v>332</v>
      </c>
      <c r="B1015" t="s">
        <v>316</v>
      </c>
      <c r="C1015" s="2">
        <f>HYPERLINK("https://svao.dolgi.msk.ru/account/1760183932/", 1760183932)</f>
        <v>1760183932</v>
      </c>
      <c r="D1015">
        <v>10871.54</v>
      </c>
    </row>
    <row r="1016" spans="1:4" x14ac:dyDescent="0.25">
      <c r="A1016" t="s">
        <v>332</v>
      </c>
      <c r="B1016" t="s">
        <v>148</v>
      </c>
      <c r="C1016" s="2">
        <f>HYPERLINK("https://svao.dolgi.msk.ru/account/1760183959/", 1760183959)</f>
        <v>1760183959</v>
      </c>
      <c r="D1016">
        <v>3737.94</v>
      </c>
    </row>
    <row r="1017" spans="1:4" x14ac:dyDescent="0.25">
      <c r="A1017" t="s">
        <v>332</v>
      </c>
      <c r="B1017" t="s">
        <v>307</v>
      </c>
      <c r="C1017" s="2">
        <f>HYPERLINK("https://svao.dolgi.msk.ru/account/1760183983/", 1760183983)</f>
        <v>1760183983</v>
      </c>
      <c r="D1017">
        <v>3894.29</v>
      </c>
    </row>
    <row r="1018" spans="1:4" x14ac:dyDescent="0.25">
      <c r="A1018" t="s">
        <v>332</v>
      </c>
      <c r="B1018" t="s">
        <v>253</v>
      </c>
      <c r="C1018" s="2">
        <f>HYPERLINK("https://svao.dolgi.msk.ru/account/1760184062/", 1760184062)</f>
        <v>1760184062</v>
      </c>
      <c r="D1018">
        <v>4456.1899999999996</v>
      </c>
    </row>
    <row r="1019" spans="1:4" x14ac:dyDescent="0.25">
      <c r="A1019" t="s">
        <v>332</v>
      </c>
      <c r="B1019" t="s">
        <v>312</v>
      </c>
      <c r="C1019" s="2">
        <f>HYPERLINK("https://svao.dolgi.msk.ru/account/1760184265/", 1760184265)</f>
        <v>1760184265</v>
      </c>
      <c r="D1019">
        <v>3068.33</v>
      </c>
    </row>
    <row r="1020" spans="1:4" x14ac:dyDescent="0.25">
      <c r="A1020" t="s">
        <v>332</v>
      </c>
      <c r="B1020" t="s">
        <v>335</v>
      </c>
      <c r="C1020" s="2">
        <f>HYPERLINK("https://svao.dolgi.msk.ru/account/1760184273/", 1760184273)</f>
        <v>1760184273</v>
      </c>
      <c r="D1020">
        <v>7546.39</v>
      </c>
    </row>
    <row r="1021" spans="1:4" x14ac:dyDescent="0.25">
      <c r="A1021" t="s">
        <v>332</v>
      </c>
      <c r="B1021" t="s">
        <v>336</v>
      </c>
      <c r="C1021" s="2">
        <f>HYPERLINK("https://svao.dolgi.msk.ru/account/1760184441/", 1760184441)</f>
        <v>1760184441</v>
      </c>
      <c r="D1021">
        <v>8809.74</v>
      </c>
    </row>
    <row r="1022" spans="1:4" x14ac:dyDescent="0.25">
      <c r="A1022" t="s">
        <v>332</v>
      </c>
      <c r="B1022" t="s">
        <v>60</v>
      </c>
      <c r="C1022" s="2">
        <f>HYPERLINK("https://svao.dolgi.msk.ru/account/1760184468/", 1760184468)</f>
        <v>1760184468</v>
      </c>
      <c r="D1022">
        <v>5807.05</v>
      </c>
    </row>
    <row r="1023" spans="1:4" x14ac:dyDescent="0.25">
      <c r="A1023" t="s">
        <v>337</v>
      </c>
      <c r="B1023" t="s">
        <v>41</v>
      </c>
      <c r="C1023" s="2">
        <f>HYPERLINK("https://svao.dolgi.msk.ru/account/1760197373/", 1760197373)</f>
        <v>1760197373</v>
      </c>
      <c r="D1023">
        <v>69880.38</v>
      </c>
    </row>
    <row r="1024" spans="1:4" x14ac:dyDescent="0.25">
      <c r="A1024" t="s">
        <v>337</v>
      </c>
      <c r="B1024" t="s">
        <v>5</v>
      </c>
      <c r="C1024" s="2">
        <f>HYPERLINK("https://svao.dolgi.msk.ru/account/1760197381/", 1760197381)</f>
        <v>1760197381</v>
      </c>
      <c r="D1024">
        <v>6341.88</v>
      </c>
    </row>
    <row r="1025" spans="1:4" x14ac:dyDescent="0.25">
      <c r="A1025" t="s">
        <v>337</v>
      </c>
      <c r="B1025" t="s">
        <v>5</v>
      </c>
      <c r="C1025" s="2">
        <f>HYPERLINK("https://svao.dolgi.msk.ru/account/1761795682/", 1761795682)</f>
        <v>1761795682</v>
      </c>
      <c r="D1025">
        <v>260086.77</v>
      </c>
    </row>
    <row r="1026" spans="1:4" x14ac:dyDescent="0.25">
      <c r="A1026" t="s">
        <v>337</v>
      </c>
      <c r="B1026" t="s">
        <v>7</v>
      </c>
      <c r="C1026" s="2">
        <f>HYPERLINK("https://svao.dolgi.msk.ru/account/1760197402/", 1760197402)</f>
        <v>1760197402</v>
      </c>
      <c r="D1026">
        <v>5626.3</v>
      </c>
    </row>
    <row r="1027" spans="1:4" x14ac:dyDescent="0.25">
      <c r="A1027" t="s">
        <v>337</v>
      </c>
      <c r="B1027" t="s">
        <v>141</v>
      </c>
      <c r="C1027" s="2">
        <f>HYPERLINK("https://svao.dolgi.msk.ru/account/1760197437/", 1760197437)</f>
        <v>1760197437</v>
      </c>
      <c r="D1027">
        <v>4336.8599999999997</v>
      </c>
    </row>
    <row r="1028" spans="1:4" x14ac:dyDescent="0.25">
      <c r="A1028" t="s">
        <v>337</v>
      </c>
      <c r="B1028" t="s">
        <v>102</v>
      </c>
      <c r="C1028" s="2">
        <f>HYPERLINK("https://svao.dolgi.msk.ru/account/1760197445/", 1760197445)</f>
        <v>1760197445</v>
      </c>
      <c r="D1028">
        <v>10510.53</v>
      </c>
    </row>
    <row r="1029" spans="1:4" x14ac:dyDescent="0.25">
      <c r="A1029" t="s">
        <v>337</v>
      </c>
      <c r="B1029" t="s">
        <v>73</v>
      </c>
      <c r="C1029" s="2">
        <f>HYPERLINK("https://svao.dolgi.msk.ru/account/1760197461/", 1760197461)</f>
        <v>1760197461</v>
      </c>
      <c r="D1029">
        <v>24877.71</v>
      </c>
    </row>
    <row r="1030" spans="1:4" x14ac:dyDescent="0.25">
      <c r="A1030" t="s">
        <v>337</v>
      </c>
      <c r="B1030" t="s">
        <v>74</v>
      </c>
      <c r="C1030" s="2">
        <f>HYPERLINK("https://svao.dolgi.msk.ru/account/1760197509/", 1760197509)</f>
        <v>1760197509</v>
      </c>
      <c r="D1030">
        <v>1914.38</v>
      </c>
    </row>
    <row r="1031" spans="1:4" x14ac:dyDescent="0.25">
      <c r="A1031" t="s">
        <v>337</v>
      </c>
      <c r="B1031" t="s">
        <v>12</v>
      </c>
      <c r="C1031" s="2">
        <f>HYPERLINK("https://svao.dolgi.msk.ru/account/1760197592/", 1760197592)</f>
        <v>1760197592</v>
      </c>
      <c r="D1031">
        <v>1259.1199999999999</v>
      </c>
    </row>
    <row r="1032" spans="1:4" x14ac:dyDescent="0.25">
      <c r="A1032" t="s">
        <v>337</v>
      </c>
      <c r="B1032" t="s">
        <v>13</v>
      </c>
      <c r="C1032" s="2">
        <f>HYPERLINK("https://svao.dolgi.msk.ru/account/1760197605/", 1760197605)</f>
        <v>1760197605</v>
      </c>
      <c r="D1032">
        <v>6041.52</v>
      </c>
    </row>
    <row r="1033" spans="1:4" x14ac:dyDescent="0.25">
      <c r="A1033" t="s">
        <v>337</v>
      </c>
      <c r="B1033" t="s">
        <v>108</v>
      </c>
      <c r="C1033" s="2">
        <f>HYPERLINK("https://svao.dolgi.msk.ru/account/1760197664/", 1760197664)</f>
        <v>1760197664</v>
      </c>
      <c r="D1033">
        <v>341.01</v>
      </c>
    </row>
    <row r="1034" spans="1:4" x14ac:dyDescent="0.25">
      <c r="A1034" t="s">
        <v>337</v>
      </c>
      <c r="B1034" t="s">
        <v>17</v>
      </c>
      <c r="C1034" s="2">
        <f>HYPERLINK("https://svao.dolgi.msk.ru/account/1760197699/", 1760197699)</f>
        <v>1760197699</v>
      </c>
      <c r="D1034">
        <v>5181.6400000000003</v>
      </c>
    </row>
    <row r="1035" spans="1:4" x14ac:dyDescent="0.25">
      <c r="A1035" t="s">
        <v>337</v>
      </c>
      <c r="B1035" t="s">
        <v>92</v>
      </c>
      <c r="C1035" s="2">
        <f>HYPERLINK("https://svao.dolgi.msk.ru/account/1760197787/", 1760197787)</f>
        <v>1760197787</v>
      </c>
      <c r="D1035">
        <v>610.70000000000005</v>
      </c>
    </row>
    <row r="1036" spans="1:4" x14ac:dyDescent="0.25">
      <c r="A1036" t="s">
        <v>337</v>
      </c>
      <c r="B1036" t="s">
        <v>92</v>
      </c>
      <c r="C1036" s="2">
        <f>HYPERLINK("https://svao.dolgi.msk.ru/account/1761793396/", 1761793396)</f>
        <v>1761793396</v>
      </c>
      <c r="D1036">
        <v>3423.15</v>
      </c>
    </row>
    <row r="1037" spans="1:4" x14ac:dyDescent="0.25">
      <c r="A1037" t="s">
        <v>337</v>
      </c>
      <c r="B1037" t="s">
        <v>78</v>
      </c>
      <c r="C1037" s="2">
        <f>HYPERLINK("https://svao.dolgi.msk.ru/account/1760197883/", 1760197883)</f>
        <v>1760197883</v>
      </c>
      <c r="D1037">
        <v>9544.7000000000007</v>
      </c>
    </row>
    <row r="1038" spans="1:4" x14ac:dyDescent="0.25">
      <c r="A1038" t="s">
        <v>337</v>
      </c>
      <c r="B1038" t="s">
        <v>22</v>
      </c>
      <c r="C1038" s="2">
        <f>HYPERLINK("https://svao.dolgi.msk.ru/account/1760197891/", 1760197891)</f>
        <v>1760197891</v>
      </c>
      <c r="D1038">
        <v>423.3</v>
      </c>
    </row>
    <row r="1039" spans="1:4" x14ac:dyDescent="0.25">
      <c r="A1039" t="s">
        <v>337</v>
      </c>
      <c r="B1039" t="s">
        <v>79</v>
      </c>
      <c r="C1039" s="2">
        <f>HYPERLINK("https://svao.dolgi.msk.ru/account/1760197904/", 1760197904)</f>
        <v>1760197904</v>
      </c>
      <c r="D1039">
        <v>2387.2600000000002</v>
      </c>
    </row>
    <row r="1040" spans="1:4" x14ac:dyDescent="0.25">
      <c r="A1040" t="s">
        <v>337</v>
      </c>
      <c r="B1040" t="s">
        <v>320</v>
      </c>
      <c r="C1040" s="2">
        <f>HYPERLINK("https://svao.dolgi.msk.ru/account/1760197963/", 1760197963)</f>
        <v>1760197963</v>
      </c>
      <c r="D1040">
        <v>68859.740000000005</v>
      </c>
    </row>
    <row r="1041" spans="1:4" x14ac:dyDescent="0.25">
      <c r="A1041" t="s">
        <v>337</v>
      </c>
      <c r="B1041" t="s">
        <v>314</v>
      </c>
      <c r="C1041" s="2">
        <f>HYPERLINK("https://svao.dolgi.msk.ru/account/1760197998/", 1760197998)</f>
        <v>1760197998</v>
      </c>
      <c r="D1041">
        <v>2845.62</v>
      </c>
    </row>
    <row r="1042" spans="1:4" x14ac:dyDescent="0.25">
      <c r="A1042" t="s">
        <v>337</v>
      </c>
      <c r="B1042" t="s">
        <v>119</v>
      </c>
      <c r="C1042" s="2">
        <f>HYPERLINK("https://svao.dolgi.msk.ru/account/1760198114/", 1760198114)</f>
        <v>1760198114</v>
      </c>
      <c r="D1042">
        <v>6514.88</v>
      </c>
    </row>
    <row r="1043" spans="1:4" x14ac:dyDescent="0.25">
      <c r="A1043" t="s">
        <v>337</v>
      </c>
      <c r="B1043" t="s">
        <v>82</v>
      </c>
      <c r="C1043" s="2">
        <f>HYPERLINK("https://svao.dolgi.msk.ru/account/1760198149/", 1760198149)</f>
        <v>1760198149</v>
      </c>
      <c r="D1043">
        <v>11364.34</v>
      </c>
    </row>
    <row r="1044" spans="1:4" x14ac:dyDescent="0.25">
      <c r="A1044" t="s">
        <v>338</v>
      </c>
      <c r="B1044" t="s">
        <v>6</v>
      </c>
      <c r="C1044" s="2">
        <f>HYPERLINK("https://svao.dolgi.msk.ru/account/1760256038/", 1760256038)</f>
        <v>1760256038</v>
      </c>
      <c r="D1044">
        <v>512.21</v>
      </c>
    </row>
    <row r="1045" spans="1:4" x14ac:dyDescent="0.25">
      <c r="A1045" t="s">
        <v>338</v>
      </c>
      <c r="B1045" t="s">
        <v>5</v>
      </c>
      <c r="C1045" s="2">
        <f>HYPERLINK("https://svao.dolgi.msk.ru/account/1760256054/", 1760256054)</f>
        <v>1760256054</v>
      </c>
      <c r="D1045">
        <v>9831.27</v>
      </c>
    </row>
    <row r="1046" spans="1:4" x14ac:dyDescent="0.25">
      <c r="A1046" t="s">
        <v>338</v>
      </c>
      <c r="B1046" t="s">
        <v>101</v>
      </c>
      <c r="C1046" s="2">
        <f>HYPERLINK("https://svao.dolgi.msk.ru/account/1760256089/", 1760256089)</f>
        <v>1760256089</v>
      </c>
      <c r="D1046">
        <v>6625.63</v>
      </c>
    </row>
    <row r="1047" spans="1:4" x14ac:dyDescent="0.25">
      <c r="A1047" t="s">
        <v>338</v>
      </c>
      <c r="B1047" t="s">
        <v>104</v>
      </c>
      <c r="C1047" s="2">
        <f>HYPERLINK("https://svao.dolgi.msk.ru/account/1760256142/", 1760256142)</f>
        <v>1760256142</v>
      </c>
      <c r="D1047">
        <v>7273.48</v>
      </c>
    </row>
    <row r="1048" spans="1:4" x14ac:dyDescent="0.25">
      <c r="A1048" t="s">
        <v>338</v>
      </c>
      <c r="B1048" t="s">
        <v>8</v>
      </c>
      <c r="C1048" s="2">
        <f>HYPERLINK("https://svao.dolgi.msk.ru/account/1760256169/", 1760256169)</f>
        <v>1760256169</v>
      </c>
      <c r="D1048">
        <v>1295.6199999999999</v>
      </c>
    </row>
    <row r="1049" spans="1:4" x14ac:dyDescent="0.25">
      <c r="A1049" t="s">
        <v>338</v>
      </c>
      <c r="B1049" t="s">
        <v>9</v>
      </c>
      <c r="C1049" s="2">
        <f>HYPERLINK("https://svao.dolgi.msk.ru/account/1760256193/", 1760256193)</f>
        <v>1760256193</v>
      </c>
      <c r="D1049">
        <v>1191.6300000000001</v>
      </c>
    </row>
    <row r="1050" spans="1:4" x14ac:dyDescent="0.25">
      <c r="A1050" t="s">
        <v>338</v>
      </c>
      <c r="B1050" t="s">
        <v>219</v>
      </c>
      <c r="C1050" s="2">
        <f>HYPERLINK("https://svao.dolgi.msk.ru/account/1760256249/", 1760256249)</f>
        <v>1760256249</v>
      </c>
      <c r="D1050">
        <v>10155.200000000001</v>
      </c>
    </row>
    <row r="1051" spans="1:4" x14ac:dyDescent="0.25">
      <c r="A1051" t="s">
        <v>338</v>
      </c>
      <c r="B1051" t="s">
        <v>107</v>
      </c>
      <c r="C1051" s="2">
        <f>HYPERLINK("https://svao.dolgi.msk.ru/account/1760256329/", 1760256329)</f>
        <v>1760256329</v>
      </c>
      <c r="D1051">
        <v>636542.81000000006</v>
      </c>
    </row>
    <row r="1052" spans="1:4" x14ac:dyDescent="0.25">
      <c r="A1052" t="s">
        <v>338</v>
      </c>
      <c r="B1052" t="s">
        <v>17</v>
      </c>
      <c r="C1052" s="2">
        <f>HYPERLINK("https://svao.dolgi.msk.ru/account/1760256361/", 1760256361)</f>
        <v>1760256361</v>
      </c>
      <c r="D1052">
        <v>3433.11</v>
      </c>
    </row>
    <row r="1053" spans="1:4" x14ac:dyDescent="0.25">
      <c r="A1053" t="s">
        <v>338</v>
      </c>
      <c r="B1053" t="s">
        <v>19</v>
      </c>
      <c r="C1053" s="2">
        <f>HYPERLINK("https://svao.dolgi.msk.ru/account/1760256396/", 1760256396)</f>
        <v>1760256396</v>
      </c>
      <c r="D1053">
        <v>4243.93</v>
      </c>
    </row>
    <row r="1054" spans="1:4" x14ac:dyDescent="0.25">
      <c r="A1054" t="s">
        <v>338</v>
      </c>
      <c r="B1054" t="s">
        <v>92</v>
      </c>
      <c r="C1054" s="2">
        <f>HYPERLINK("https://svao.dolgi.msk.ru/account/1760256441/", 1760256441)</f>
        <v>1760256441</v>
      </c>
      <c r="D1054">
        <v>14993.7</v>
      </c>
    </row>
    <row r="1055" spans="1:4" x14ac:dyDescent="0.25">
      <c r="A1055" t="s">
        <v>338</v>
      </c>
      <c r="B1055" t="s">
        <v>93</v>
      </c>
      <c r="C1055" s="2">
        <f>HYPERLINK("https://svao.dolgi.msk.ru/account/1760256468/", 1760256468)</f>
        <v>1760256468</v>
      </c>
      <c r="D1055">
        <v>10618.39</v>
      </c>
    </row>
    <row r="1056" spans="1:4" x14ac:dyDescent="0.25">
      <c r="A1056" t="s">
        <v>338</v>
      </c>
      <c r="B1056" t="s">
        <v>111</v>
      </c>
      <c r="C1056" s="2">
        <f>HYPERLINK("https://svao.dolgi.msk.ru/account/1760256476/", 1760256476)</f>
        <v>1760256476</v>
      </c>
      <c r="D1056">
        <v>6065.15</v>
      </c>
    </row>
    <row r="1057" spans="1:4" x14ac:dyDescent="0.25">
      <c r="A1057" t="s">
        <v>338</v>
      </c>
      <c r="B1057" t="s">
        <v>94</v>
      </c>
      <c r="C1057" s="2">
        <f>HYPERLINK("https://svao.dolgi.msk.ru/account/1760256484/", 1760256484)</f>
        <v>1760256484</v>
      </c>
      <c r="D1057">
        <v>405.16</v>
      </c>
    </row>
    <row r="1058" spans="1:4" x14ac:dyDescent="0.25">
      <c r="A1058" t="s">
        <v>338</v>
      </c>
      <c r="B1058" t="s">
        <v>114</v>
      </c>
      <c r="C1058" s="2">
        <f>HYPERLINK("https://svao.dolgi.msk.ru/account/1760256548/", 1760256548)</f>
        <v>1760256548</v>
      </c>
      <c r="D1058">
        <v>10728.65</v>
      </c>
    </row>
    <row r="1059" spans="1:4" x14ac:dyDescent="0.25">
      <c r="A1059" t="s">
        <v>338</v>
      </c>
      <c r="B1059" t="s">
        <v>79</v>
      </c>
      <c r="C1059" s="2">
        <f>HYPERLINK("https://svao.dolgi.msk.ru/account/1760256572/", 1760256572)</f>
        <v>1760256572</v>
      </c>
      <c r="D1059">
        <v>7801.13</v>
      </c>
    </row>
    <row r="1060" spans="1:4" x14ac:dyDescent="0.25">
      <c r="A1060" t="s">
        <v>338</v>
      </c>
      <c r="B1060" t="s">
        <v>124</v>
      </c>
      <c r="C1060" s="2">
        <f>HYPERLINK("https://svao.dolgi.msk.ru/account/1760256601/", 1760256601)</f>
        <v>1760256601</v>
      </c>
      <c r="D1060">
        <v>36334.589999999997</v>
      </c>
    </row>
    <row r="1061" spans="1:4" x14ac:dyDescent="0.25">
      <c r="A1061" t="s">
        <v>338</v>
      </c>
      <c r="B1061" t="s">
        <v>124</v>
      </c>
      <c r="C1061" s="2">
        <f>HYPERLINK("https://svao.dolgi.msk.ru/account/1760256628/", 1760256628)</f>
        <v>1760256628</v>
      </c>
      <c r="D1061">
        <v>2866.75</v>
      </c>
    </row>
    <row r="1062" spans="1:4" x14ac:dyDescent="0.25">
      <c r="A1062" t="s">
        <v>338</v>
      </c>
      <c r="B1062" t="s">
        <v>124</v>
      </c>
      <c r="C1062" s="2">
        <f>HYPERLINK("https://svao.dolgi.msk.ru/account/1760260707/", 1760260707)</f>
        <v>1760260707</v>
      </c>
      <c r="D1062">
        <v>17031.419999999998</v>
      </c>
    </row>
    <row r="1063" spans="1:4" x14ac:dyDescent="0.25">
      <c r="A1063" t="s">
        <v>338</v>
      </c>
      <c r="B1063" t="s">
        <v>115</v>
      </c>
      <c r="C1063" s="2">
        <f>HYPERLINK("https://svao.dolgi.msk.ru/account/1760256644/", 1760256644)</f>
        <v>1760256644</v>
      </c>
      <c r="D1063">
        <v>5657.5</v>
      </c>
    </row>
    <row r="1064" spans="1:4" x14ac:dyDescent="0.25">
      <c r="A1064" t="s">
        <v>338</v>
      </c>
      <c r="B1064" t="s">
        <v>320</v>
      </c>
      <c r="C1064" s="2">
        <f>HYPERLINK("https://svao.dolgi.msk.ru/account/1760256652/", 1760256652)</f>
        <v>1760256652</v>
      </c>
      <c r="D1064">
        <v>30787.53</v>
      </c>
    </row>
    <row r="1065" spans="1:4" x14ac:dyDescent="0.25">
      <c r="A1065" t="s">
        <v>338</v>
      </c>
      <c r="B1065" t="s">
        <v>24</v>
      </c>
      <c r="C1065" s="2">
        <f>HYPERLINK("https://svao.dolgi.msk.ru/account/1760256679/", 1760256679)</f>
        <v>1760256679</v>
      </c>
      <c r="D1065">
        <v>10119.99</v>
      </c>
    </row>
    <row r="1066" spans="1:4" x14ac:dyDescent="0.25">
      <c r="A1066" t="s">
        <v>338</v>
      </c>
      <c r="B1066" t="s">
        <v>242</v>
      </c>
      <c r="C1066" s="2">
        <f>HYPERLINK("https://svao.dolgi.msk.ru/account/1760256695/", 1760256695)</f>
        <v>1760256695</v>
      </c>
      <c r="D1066">
        <v>1280.1300000000001</v>
      </c>
    </row>
    <row r="1067" spans="1:4" x14ac:dyDescent="0.25">
      <c r="A1067" t="s">
        <v>338</v>
      </c>
      <c r="B1067" t="s">
        <v>80</v>
      </c>
      <c r="C1067" s="2">
        <f>HYPERLINK("https://svao.dolgi.msk.ru/account/1760256759/", 1760256759)</f>
        <v>1760256759</v>
      </c>
      <c r="D1067">
        <v>37417.53</v>
      </c>
    </row>
    <row r="1068" spans="1:4" x14ac:dyDescent="0.25">
      <c r="A1068" t="s">
        <v>338</v>
      </c>
      <c r="B1068" t="s">
        <v>127</v>
      </c>
      <c r="C1068" s="2">
        <f>HYPERLINK("https://svao.dolgi.msk.ru/account/1760256775/", 1760256775)</f>
        <v>1760256775</v>
      </c>
      <c r="D1068">
        <v>8698.06</v>
      </c>
    </row>
    <row r="1069" spans="1:4" x14ac:dyDescent="0.25">
      <c r="A1069" t="s">
        <v>338</v>
      </c>
      <c r="B1069" t="s">
        <v>132</v>
      </c>
      <c r="C1069" s="2">
        <f>HYPERLINK("https://svao.dolgi.msk.ru/account/1760256927/", 1760256927)</f>
        <v>1760256927</v>
      </c>
      <c r="D1069">
        <v>7711.23</v>
      </c>
    </row>
    <row r="1070" spans="1:4" x14ac:dyDescent="0.25">
      <c r="A1070" t="s">
        <v>338</v>
      </c>
      <c r="B1070" t="s">
        <v>290</v>
      </c>
      <c r="C1070" s="2">
        <f>HYPERLINK("https://svao.dolgi.msk.ru/account/1760256986/", 1760256986)</f>
        <v>1760256986</v>
      </c>
      <c r="D1070">
        <v>4370.7299999999996</v>
      </c>
    </row>
    <row r="1071" spans="1:4" x14ac:dyDescent="0.25">
      <c r="A1071" t="s">
        <v>338</v>
      </c>
      <c r="B1071" t="s">
        <v>28</v>
      </c>
      <c r="C1071" s="2">
        <f>HYPERLINK("https://svao.dolgi.msk.ru/account/1760257049/", 1760257049)</f>
        <v>1760257049</v>
      </c>
      <c r="D1071">
        <v>8999.94</v>
      </c>
    </row>
    <row r="1072" spans="1:4" x14ac:dyDescent="0.25">
      <c r="A1072" t="s">
        <v>338</v>
      </c>
      <c r="B1072" t="s">
        <v>29</v>
      </c>
      <c r="C1072" s="2">
        <f>HYPERLINK("https://svao.dolgi.msk.ru/account/1760257057/", 1760257057)</f>
        <v>1760257057</v>
      </c>
      <c r="D1072">
        <v>10358.91</v>
      </c>
    </row>
    <row r="1073" spans="1:4" x14ac:dyDescent="0.25">
      <c r="A1073" t="s">
        <v>338</v>
      </c>
      <c r="B1073" t="s">
        <v>244</v>
      </c>
      <c r="C1073" s="2">
        <f>HYPERLINK("https://svao.dolgi.msk.ru/account/1760257065/", 1760257065)</f>
        <v>1760257065</v>
      </c>
      <c r="D1073">
        <v>7063.38</v>
      </c>
    </row>
    <row r="1074" spans="1:4" x14ac:dyDescent="0.25">
      <c r="A1074" t="s">
        <v>338</v>
      </c>
      <c r="B1074" t="s">
        <v>291</v>
      </c>
      <c r="C1074" s="2">
        <f>HYPERLINK("https://svao.dolgi.msk.ru/account/1760257161/", 1760257161)</f>
        <v>1760257161</v>
      </c>
      <c r="D1074">
        <v>10870.93</v>
      </c>
    </row>
    <row r="1075" spans="1:4" x14ac:dyDescent="0.25">
      <c r="A1075" t="s">
        <v>338</v>
      </c>
      <c r="B1075" t="s">
        <v>245</v>
      </c>
      <c r="C1075" s="2">
        <f>HYPERLINK("https://svao.dolgi.msk.ru/account/1760257209/", 1760257209)</f>
        <v>1760257209</v>
      </c>
      <c r="D1075">
        <v>12578.79</v>
      </c>
    </row>
    <row r="1076" spans="1:4" x14ac:dyDescent="0.25">
      <c r="A1076" t="s">
        <v>338</v>
      </c>
      <c r="B1076" t="s">
        <v>32</v>
      </c>
      <c r="C1076" s="2">
        <f>HYPERLINK("https://svao.dolgi.msk.ru/account/1760257217/", 1760257217)</f>
        <v>1760257217</v>
      </c>
      <c r="D1076">
        <v>4728.96</v>
      </c>
    </row>
    <row r="1077" spans="1:4" x14ac:dyDescent="0.25">
      <c r="A1077" t="s">
        <v>338</v>
      </c>
      <c r="B1077" t="s">
        <v>35</v>
      </c>
      <c r="C1077" s="2">
        <f>HYPERLINK("https://svao.dolgi.msk.ru/account/1760257268/", 1760257268)</f>
        <v>1760257268</v>
      </c>
      <c r="D1077">
        <v>6245.31</v>
      </c>
    </row>
    <row r="1078" spans="1:4" x14ac:dyDescent="0.25">
      <c r="A1078" t="s">
        <v>338</v>
      </c>
      <c r="B1078" t="s">
        <v>40</v>
      </c>
      <c r="C1078" s="2">
        <f>HYPERLINK("https://svao.dolgi.msk.ru/account/1760257436/", 1760257436)</f>
        <v>1760257436</v>
      </c>
      <c r="D1078">
        <v>6773.06</v>
      </c>
    </row>
    <row r="1079" spans="1:4" x14ac:dyDescent="0.25">
      <c r="A1079" t="s">
        <v>338</v>
      </c>
      <c r="B1079" t="s">
        <v>142</v>
      </c>
      <c r="C1079" s="2">
        <f>HYPERLINK("https://svao.dolgi.msk.ru/account/1760257495/", 1760257495)</f>
        <v>1760257495</v>
      </c>
      <c r="D1079">
        <v>7595.98</v>
      </c>
    </row>
    <row r="1080" spans="1:4" x14ac:dyDescent="0.25">
      <c r="A1080" t="s">
        <v>338</v>
      </c>
      <c r="B1080" t="s">
        <v>305</v>
      </c>
      <c r="C1080" s="2">
        <f>HYPERLINK("https://svao.dolgi.msk.ru/account/1760257516/", 1760257516)</f>
        <v>1760257516</v>
      </c>
      <c r="D1080">
        <v>215.06</v>
      </c>
    </row>
    <row r="1081" spans="1:4" x14ac:dyDescent="0.25">
      <c r="A1081" t="s">
        <v>338</v>
      </c>
      <c r="B1081" t="s">
        <v>145</v>
      </c>
      <c r="C1081" s="2">
        <f>HYPERLINK("https://svao.dolgi.msk.ru/account/1760257604/", 1760257604)</f>
        <v>1760257604</v>
      </c>
      <c r="D1081">
        <v>3177.17</v>
      </c>
    </row>
    <row r="1082" spans="1:4" x14ac:dyDescent="0.25">
      <c r="A1082" t="s">
        <v>338</v>
      </c>
      <c r="B1082" t="s">
        <v>339</v>
      </c>
      <c r="C1082" s="2">
        <f>HYPERLINK("https://svao.dolgi.msk.ru/account/1760257639/", 1760257639)</f>
        <v>1760257639</v>
      </c>
      <c r="D1082">
        <v>565.09</v>
      </c>
    </row>
    <row r="1083" spans="1:4" x14ac:dyDescent="0.25">
      <c r="A1083" t="s">
        <v>338</v>
      </c>
      <c r="B1083" t="s">
        <v>250</v>
      </c>
      <c r="C1083" s="2">
        <f>HYPERLINK("https://svao.dolgi.msk.ru/account/1760257655/", 1760257655)</f>
        <v>1760257655</v>
      </c>
      <c r="D1083">
        <v>2615.73</v>
      </c>
    </row>
    <row r="1084" spans="1:4" x14ac:dyDescent="0.25">
      <c r="A1084" t="s">
        <v>338</v>
      </c>
      <c r="B1084" t="s">
        <v>48</v>
      </c>
      <c r="C1084" s="2">
        <f>HYPERLINK("https://svao.dolgi.msk.ru/account/1760257671/", 1760257671)</f>
        <v>1760257671</v>
      </c>
      <c r="D1084">
        <v>576.86</v>
      </c>
    </row>
    <row r="1085" spans="1:4" x14ac:dyDescent="0.25">
      <c r="A1085" t="s">
        <v>338</v>
      </c>
      <c r="B1085" t="s">
        <v>252</v>
      </c>
      <c r="C1085" s="2">
        <f>HYPERLINK("https://svao.dolgi.msk.ru/account/1760257743/", 1760257743)</f>
        <v>1760257743</v>
      </c>
      <c r="D1085">
        <v>10333.709999999999</v>
      </c>
    </row>
    <row r="1086" spans="1:4" x14ac:dyDescent="0.25">
      <c r="A1086" t="s">
        <v>338</v>
      </c>
      <c r="B1086" t="s">
        <v>306</v>
      </c>
      <c r="C1086" s="2">
        <f>HYPERLINK("https://svao.dolgi.msk.ru/account/1760257751/", 1760257751)</f>
        <v>1760257751</v>
      </c>
      <c r="D1086">
        <v>8246.9699999999993</v>
      </c>
    </row>
    <row r="1087" spans="1:4" x14ac:dyDescent="0.25">
      <c r="A1087" t="s">
        <v>338</v>
      </c>
      <c r="B1087" t="s">
        <v>50</v>
      </c>
      <c r="C1087" s="2">
        <f>HYPERLINK("https://svao.dolgi.msk.ru/account/1760257778/", 1760257778)</f>
        <v>1760257778</v>
      </c>
      <c r="D1087">
        <v>8096.67</v>
      </c>
    </row>
    <row r="1088" spans="1:4" x14ac:dyDescent="0.25">
      <c r="A1088" t="s">
        <v>338</v>
      </c>
      <c r="B1088" t="s">
        <v>331</v>
      </c>
      <c r="C1088" s="2">
        <f>HYPERLINK("https://svao.dolgi.msk.ru/account/1760257807/", 1760257807)</f>
        <v>1760257807</v>
      </c>
      <c r="D1088">
        <v>5486.82</v>
      </c>
    </row>
    <row r="1089" spans="1:4" x14ac:dyDescent="0.25">
      <c r="A1089" t="s">
        <v>338</v>
      </c>
      <c r="B1089" t="s">
        <v>149</v>
      </c>
      <c r="C1089" s="2">
        <f>HYPERLINK("https://svao.dolgi.msk.ru/account/1760257866/", 1760257866)</f>
        <v>1760257866</v>
      </c>
      <c r="D1089">
        <v>3471.01</v>
      </c>
    </row>
    <row r="1090" spans="1:4" x14ac:dyDescent="0.25">
      <c r="A1090" t="s">
        <v>338</v>
      </c>
      <c r="B1090" t="s">
        <v>307</v>
      </c>
      <c r="C1090" s="2">
        <f>HYPERLINK("https://svao.dolgi.msk.ru/account/1760257874/", 1760257874)</f>
        <v>1760257874</v>
      </c>
      <c r="D1090">
        <v>7529.39</v>
      </c>
    </row>
    <row r="1091" spans="1:4" x14ac:dyDescent="0.25">
      <c r="A1091" t="s">
        <v>338</v>
      </c>
      <c r="B1091" t="s">
        <v>152</v>
      </c>
      <c r="C1091" s="2">
        <f>HYPERLINK("https://svao.dolgi.msk.ru/account/1760257938/", 1760257938)</f>
        <v>1760257938</v>
      </c>
      <c r="D1091">
        <v>6987.91</v>
      </c>
    </row>
    <row r="1092" spans="1:4" x14ac:dyDescent="0.25">
      <c r="A1092" t="s">
        <v>338</v>
      </c>
      <c r="B1092" t="s">
        <v>53</v>
      </c>
      <c r="C1092" s="2">
        <f>HYPERLINK("https://svao.dolgi.msk.ru/account/1760257954/", 1760257954)</f>
        <v>1760257954</v>
      </c>
      <c r="D1092">
        <v>20242.91</v>
      </c>
    </row>
    <row r="1093" spans="1:4" x14ac:dyDescent="0.25">
      <c r="A1093" t="s">
        <v>338</v>
      </c>
      <c r="B1093" t="s">
        <v>308</v>
      </c>
      <c r="C1093" s="2">
        <f>HYPERLINK("https://svao.dolgi.msk.ru/account/1760258009/", 1760258009)</f>
        <v>1760258009</v>
      </c>
      <c r="D1093">
        <v>8780.3799999999992</v>
      </c>
    </row>
    <row r="1094" spans="1:4" x14ac:dyDescent="0.25">
      <c r="A1094" t="s">
        <v>338</v>
      </c>
      <c r="B1094" t="s">
        <v>153</v>
      </c>
      <c r="C1094" s="2">
        <f>HYPERLINK("https://svao.dolgi.msk.ru/account/1760258092/", 1760258092)</f>
        <v>1760258092</v>
      </c>
      <c r="D1094">
        <v>6956.26</v>
      </c>
    </row>
    <row r="1095" spans="1:4" x14ac:dyDescent="0.25">
      <c r="A1095" t="s">
        <v>338</v>
      </c>
      <c r="B1095" t="s">
        <v>312</v>
      </c>
      <c r="C1095" s="2">
        <f>HYPERLINK("https://svao.dolgi.msk.ru/account/1760258156/", 1760258156)</f>
        <v>1760258156</v>
      </c>
      <c r="D1095">
        <v>9707.11</v>
      </c>
    </row>
    <row r="1096" spans="1:4" x14ac:dyDescent="0.25">
      <c r="A1096" t="s">
        <v>338</v>
      </c>
      <c r="B1096" t="s">
        <v>340</v>
      </c>
      <c r="C1096" s="2">
        <f>HYPERLINK("https://svao.dolgi.msk.ru/account/1760258236/", 1760258236)</f>
        <v>1760258236</v>
      </c>
      <c r="D1096">
        <v>8453.5</v>
      </c>
    </row>
    <row r="1097" spans="1:4" x14ac:dyDescent="0.25">
      <c r="A1097" t="s">
        <v>338</v>
      </c>
      <c r="B1097" t="s">
        <v>341</v>
      </c>
      <c r="C1097" s="2">
        <f>HYPERLINK("https://svao.dolgi.msk.ru/account/1760258244/", 1760258244)</f>
        <v>1760258244</v>
      </c>
      <c r="D1097">
        <v>4899.67</v>
      </c>
    </row>
    <row r="1098" spans="1:4" x14ac:dyDescent="0.25">
      <c r="A1098" t="s">
        <v>338</v>
      </c>
      <c r="B1098" t="s">
        <v>342</v>
      </c>
      <c r="C1098" s="2">
        <f>HYPERLINK("https://svao.dolgi.msk.ru/account/1760258375/", 1760258375)</f>
        <v>1760258375</v>
      </c>
      <c r="D1098">
        <v>152481.88</v>
      </c>
    </row>
    <row r="1099" spans="1:4" x14ac:dyDescent="0.25">
      <c r="A1099" t="s">
        <v>338</v>
      </c>
      <c r="B1099" t="s">
        <v>343</v>
      </c>
      <c r="C1099" s="2">
        <f>HYPERLINK("https://svao.dolgi.msk.ru/account/1760258383/", 1760258383)</f>
        <v>1760258383</v>
      </c>
      <c r="D1099">
        <v>5580.24</v>
      </c>
    </row>
    <row r="1100" spans="1:4" x14ac:dyDescent="0.25">
      <c r="A1100" t="s">
        <v>338</v>
      </c>
      <c r="B1100" t="s">
        <v>61</v>
      </c>
      <c r="C1100" s="2">
        <f>HYPERLINK("https://svao.dolgi.msk.ru/account/1760258391/", 1760258391)</f>
        <v>1760258391</v>
      </c>
      <c r="D1100">
        <v>11858</v>
      </c>
    </row>
    <row r="1101" spans="1:4" x14ac:dyDescent="0.25">
      <c r="A1101" t="s">
        <v>338</v>
      </c>
      <c r="B1101" t="s">
        <v>344</v>
      </c>
      <c r="C1101" s="2">
        <f>HYPERLINK("https://svao.dolgi.msk.ru/account/1760270948/", 1760270948)</f>
        <v>1760270948</v>
      </c>
      <c r="D1101">
        <v>465.9</v>
      </c>
    </row>
    <row r="1102" spans="1:4" x14ac:dyDescent="0.25">
      <c r="A1102" t="s">
        <v>338</v>
      </c>
      <c r="B1102" t="s">
        <v>345</v>
      </c>
      <c r="C1102" s="2">
        <f>HYPERLINK("https://svao.dolgi.msk.ru/account/1760258463/", 1760258463)</f>
        <v>1760258463</v>
      </c>
      <c r="D1102">
        <v>32535.34</v>
      </c>
    </row>
    <row r="1103" spans="1:4" x14ac:dyDescent="0.25">
      <c r="A1103" t="s">
        <v>338</v>
      </c>
      <c r="B1103" t="s">
        <v>161</v>
      </c>
      <c r="C1103" s="2">
        <f>HYPERLINK("https://svao.dolgi.msk.ru/account/1760258527/", 1760258527)</f>
        <v>1760258527</v>
      </c>
      <c r="D1103">
        <v>3846.24</v>
      </c>
    </row>
    <row r="1104" spans="1:4" x14ac:dyDescent="0.25">
      <c r="A1104" t="s">
        <v>338</v>
      </c>
      <c r="B1104" t="s">
        <v>346</v>
      </c>
      <c r="C1104" s="2">
        <f>HYPERLINK("https://svao.dolgi.msk.ru/account/1760258535/", 1760258535)</f>
        <v>1760258535</v>
      </c>
      <c r="D1104">
        <v>12135.22</v>
      </c>
    </row>
    <row r="1105" spans="1:4" x14ac:dyDescent="0.25">
      <c r="A1105" t="s">
        <v>338</v>
      </c>
      <c r="B1105" t="s">
        <v>162</v>
      </c>
      <c r="C1105" s="2">
        <f>HYPERLINK("https://svao.dolgi.msk.ru/account/1760258607/", 1760258607)</f>
        <v>1760258607</v>
      </c>
      <c r="D1105">
        <v>9778.61</v>
      </c>
    </row>
    <row r="1106" spans="1:4" x14ac:dyDescent="0.25">
      <c r="A1106" t="s">
        <v>338</v>
      </c>
      <c r="B1106" t="s">
        <v>260</v>
      </c>
      <c r="C1106" s="2">
        <f>HYPERLINK("https://svao.dolgi.msk.ru/account/1760258682/", 1760258682)</f>
        <v>1760258682</v>
      </c>
      <c r="D1106">
        <v>6854.92</v>
      </c>
    </row>
    <row r="1107" spans="1:4" x14ac:dyDescent="0.25">
      <c r="A1107" t="s">
        <v>338</v>
      </c>
      <c r="B1107" t="s">
        <v>71</v>
      </c>
      <c r="C1107" s="2">
        <f>HYPERLINK("https://svao.dolgi.msk.ru/account/1760258746/", 1760258746)</f>
        <v>1760258746</v>
      </c>
      <c r="D1107">
        <v>4856.07</v>
      </c>
    </row>
    <row r="1108" spans="1:4" x14ac:dyDescent="0.25">
      <c r="A1108" t="s">
        <v>338</v>
      </c>
      <c r="B1108" t="s">
        <v>347</v>
      </c>
      <c r="C1108" s="2">
        <f>HYPERLINK("https://svao.dolgi.msk.ru/account/1760258789/", 1760258789)</f>
        <v>1760258789</v>
      </c>
      <c r="D1108">
        <v>8144.53</v>
      </c>
    </row>
    <row r="1109" spans="1:4" x14ac:dyDescent="0.25">
      <c r="A1109" t="s">
        <v>338</v>
      </c>
      <c r="B1109" t="s">
        <v>348</v>
      </c>
      <c r="C1109" s="2">
        <f>HYPERLINK("https://svao.dolgi.msk.ru/account/1760258906/", 1760258906)</f>
        <v>1760258906</v>
      </c>
      <c r="D1109">
        <v>8122.17</v>
      </c>
    </row>
    <row r="1110" spans="1:4" x14ac:dyDescent="0.25">
      <c r="A1110" t="s">
        <v>338</v>
      </c>
      <c r="B1110" t="s">
        <v>170</v>
      </c>
      <c r="C1110" s="2">
        <f>HYPERLINK("https://svao.dolgi.msk.ru/account/1760258914/", 1760258914)</f>
        <v>1760258914</v>
      </c>
      <c r="D1110">
        <v>2410.15</v>
      </c>
    </row>
    <row r="1111" spans="1:4" x14ac:dyDescent="0.25">
      <c r="A1111" t="s">
        <v>338</v>
      </c>
      <c r="B1111" t="s">
        <v>171</v>
      </c>
      <c r="C1111" s="2">
        <f>HYPERLINK("https://svao.dolgi.msk.ru/account/1760259079/", 1760259079)</f>
        <v>1760259079</v>
      </c>
      <c r="D1111">
        <v>12436.58</v>
      </c>
    </row>
    <row r="1112" spans="1:4" x14ac:dyDescent="0.25">
      <c r="A1112" t="s">
        <v>338</v>
      </c>
      <c r="B1112" t="s">
        <v>349</v>
      </c>
      <c r="C1112" s="2">
        <f>HYPERLINK("https://svao.dolgi.msk.ru/account/1760259167/", 1760259167)</f>
        <v>1760259167</v>
      </c>
      <c r="D1112">
        <v>12485.28</v>
      </c>
    </row>
    <row r="1113" spans="1:4" x14ac:dyDescent="0.25">
      <c r="A1113" t="s">
        <v>338</v>
      </c>
      <c r="B1113" t="s">
        <v>350</v>
      </c>
      <c r="C1113" s="2">
        <f>HYPERLINK("https://svao.dolgi.msk.ru/account/1760259183/", 1760259183)</f>
        <v>1760259183</v>
      </c>
      <c r="D1113">
        <v>3484.17</v>
      </c>
    </row>
    <row r="1114" spans="1:4" x14ac:dyDescent="0.25">
      <c r="A1114" t="s">
        <v>338</v>
      </c>
      <c r="B1114" t="s">
        <v>351</v>
      </c>
      <c r="C1114" s="2">
        <f>HYPERLINK("https://svao.dolgi.msk.ru/account/1760259191/", 1760259191)</f>
        <v>1760259191</v>
      </c>
      <c r="D1114">
        <v>311.18</v>
      </c>
    </row>
    <row r="1115" spans="1:4" x14ac:dyDescent="0.25">
      <c r="A1115" t="s">
        <v>338</v>
      </c>
      <c r="B1115" t="s">
        <v>352</v>
      </c>
      <c r="C1115" s="2">
        <f>HYPERLINK("https://svao.dolgi.msk.ru/account/1760259212/", 1760259212)</f>
        <v>1760259212</v>
      </c>
      <c r="D1115">
        <v>6110.69</v>
      </c>
    </row>
    <row r="1116" spans="1:4" x14ac:dyDescent="0.25">
      <c r="A1116" t="s">
        <v>338</v>
      </c>
      <c r="B1116" t="s">
        <v>353</v>
      </c>
      <c r="C1116" s="2">
        <f>HYPERLINK("https://svao.dolgi.msk.ru/account/1760259255/", 1760259255)</f>
        <v>1760259255</v>
      </c>
      <c r="D1116">
        <v>6235.04</v>
      </c>
    </row>
    <row r="1117" spans="1:4" x14ac:dyDescent="0.25">
      <c r="A1117" t="s">
        <v>338</v>
      </c>
      <c r="B1117" t="s">
        <v>267</v>
      </c>
      <c r="C1117" s="2">
        <f>HYPERLINK("https://svao.dolgi.msk.ru/account/1760259263/", 1760259263)</f>
        <v>1760259263</v>
      </c>
      <c r="D1117">
        <v>16523.330000000002</v>
      </c>
    </row>
    <row r="1118" spans="1:4" x14ac:dyDescent="0.25">
      <c r="A1118" t="s">
        <v>338</v>
      </c>
      <c r="B1118" t="s">
        <v>269</v>
      </c>
      <c r="C1118" s="2">
        <f>HYPERLINK("https://svao.dolgi.msk.ru/account/1760259415/", 1760259415)</f>
        <v>1760259415</v>
      </c>
      <c r="D1118">
        <v>8764.0400000000009</v>
      </c>
    </row>
    <row r="1119" spans="1:4" x14ac:dyDescent="0.25">
      <c r="A1119" t="s">
        <v>338</v>
      </c>
      <c r="B1119" t="s">
        <v>273</v>
      </c>
      <c r="C1119" s="2">
        <f>HYPERLINK("https://svao.dolgi.msk.ru/account/1760259511/", 1760259511)</f>
        <v>1760259511</v>
      </c>
      <c r="D1119">
        <v>9987.39</v>
      </c>
    </row>
    <row r="1120" spans="1:4" x14ac:dyDescent="0.25">
      <c r="A1120" t="s">
        <v>338</v>
      </c>
      <c r="B1120" t="s">
        <v>275</v>
      </c>
      <c r="C1120" s="2">
        <f>HYPERLINK("https://svao.dolgi.msk.ru/account/1760259597/", 1760259597)</f>
        <v>1760259597</v>
      </c>
      <c r="D1120">
        <v>10563.26</v>
      </c>
    </row>
    <row r="1121" spans="1:4" x14ac:dyDescent="0.25">
      <c r="A1121" t="s">
        <v>338</v>
      </c>
      <c r="B1121" t="s">
        <v>354</v>
      </c>
      <c r="C1121" s="2">
        <f>HYPERLINK("https://svao.dolgi.msk.ru/account/1760259618/", 1760259618)</f>
        <v>1760259618</v>
      </c>
      <c r="D1121">
        <v>372.89</v>
      </c>
    </row>
    <row r="1122" spans="1:4" x14ac:dyDescent="0.25">
      <c r="A1122" t="s">
        <v>338</v>
      </c>
      <c r="B1122" t="s">
        <v>355</v>
      </c>
      <c r="C1122" s="2">
        <f>HYPERLINK("https://svao.dolgi.msk.ru/account/1760259634/", 1760259634)</f>
        <v>1760259634</v>
      </c>
      <c r="D1122">
        <v>5518.14</v>
      </c>
    </row>
    <row r="1123" spans="1:4" x14ac:dyDescent="0.25">
      <c r="A1123" t="s">
        <v>338</v>
      </c>
      <c r="B1123" t="s">
        <v>356</v>
      </c>
      <c r="C1123" s="2">
        <f>HYPERLINK("https://svao.dolgi.msk.ru/account/1760259642/", 1760259642)</f>
        <v>1760259642</v>
      </c>
      <c r="D1123">
        <v>12264.43</v>
      </c>
    </row>
    <row r="1124" spans="1:4" x14ac:dyDescent="0.25">
      <c r="A1124" t="s">
        <v>338</v>
      </c>
      <c r="B1124" t="s">
        <v>357</v>
      </c>
      <c r="C1124" s="2">
        <f>HYPERLINK("https://svao.dolgi.msk.ru/account/1760259685/", 1760259685)</f>
        <v>1760259685</v>
      </c>
      <c r="D1124">
        <v>394.39</v>
      </c>
    </row>
    <row r="1125" spans="1:4" x14ac:dyDescent="0.25">
      <c r="A1125" t="s">
        <v>338</v>
      </c>
      <c r="B1125" t="s">
        <v>276</v>
      </c>
      <c r="C1125" s="2">
        <f>HYPERLINK("https://svao.dolgi.msk.ru/account/1760259693/", 1760259693)</f>
        <v>1760259693</v>
      </c>
      <c r="D1125">
        <v>10754.73</v>
      </c>
    </row>
    <row r="1126" spans="1:4" x14ac:dyDescent="0.25">
      <c r="A1126" t="s">
        <v>338</v>
      </c>
      <c r="B1126" t="s">
        <v>358</v>
      </c>
      <c r="C1126" s="2">
        <f>HYPERLINK("https://svao.dolgi.msk.ru/account/1760259802/", 1760259802)</f>
        <v>1760259802</v>
      </c>
      <c r="D1126">
        <v>9276.98</v>
      </c>
    </row>
    <row r="1127" spans="1:4" x14ac:dyDescent="0.25">
      <c r="A1127" t="s">
        <v>338</v>
      </c>
      <c r="B1127" t="s">
        <v>359</v>
      </c>
      <c r="C1127" s="2">
        <f>HYPERLINK("https://svao.dolgi.msk.ru/account/1760259837/", 1760259837)</f>
        <v>1760259837</v>
      </c>
      <c r="D1127">
        <v>7066.08</v>
      </c>
    </row>
    <row r="1128" spans="1:4" x14ac:dyDescent="0.25">
      <c r="A1128" t="s">
        <v>338</v>
      </c>
      <c r="B1128" t="s">
        <v>191</v>
      </c>
      <c r="C1128" s="2">
        <f>HYPERLINK("https://svao.dolgi.msk.ru/account/1760259925/", 1760259925)</f>
        <v>1760259925</v>
      </c>
      <c r="D1128">
        <v>10638.83</v>
      </c>
    </row>
    <row r="1129" spans="1:4" x14ac:dyDescent="0.25">
      <c r="A1129" t="s">
        <v>338</v>
      </c>
      <c r="B1129" t="s">
        <v>192</v>
      </c>
      <c r="C1129" s="2">
        <f>HYPERLINK("https://svao.dolgi.msk.ru/account/1760259933/", 1760259933)</f>
        <v>1760259933</v>
      </c>
      <c r="D1129">
        <v>13878.28</v>
      </c>
    </row>
    <row r="1130" spans="1:4" x14ac:dyDescent="0.25">
      <c r="A1130" t="s">
        <v>338</v>
      </c>
      <c r="B1130" t="s">
        <v>281</v>
      </c>
      <c r="C1130" s="2">
        <f>HYPERLINK("https://svao.dolgi.msk.ru/account/1760260002/", 1760260002)</f>
        <v>1760260002</v>
      </c>
      <c r="D1130">
        <v>8275.6</v>
      </c>
    </row>
    <row r="1131" spans="1:4" x14ac:dyDescent="0.25">
      <c r="A1131" t="s">
        <v>338</v>
      </c>
      <c r="B1131" t="s">
        <v>360</v>
      </c>
      <c r="C1131" s="2">
        <f>HYPERLINK("https://svao.dolgi.msk.ru/account/1760260037/", 1760260037)</f>
        <v>1760260037</v>
      </c>
      <c r="D1131">
        <v>6505.13</v>
      </c>
    </row>
    <row r="1132" spans="1:4" x14ac:dyDescent="0.25">
      <c r="A1132" t="s">
        <v>338</v>
      </c>
      <c r="B1132" t="s">
        <v>194</v>
      </c>
      <c r="C1132" s="2">
        <f>HYPERLINK("https://svao.dolgi.msk.ru/account/1760260053/", 1760260053)</f>
        <v>1760260053</v>
      </c>
      <c r="D1132">
        <v>9883.8799999999992</v>
      </c>
    </row>
    <row r="1133" spans="1:4" x14ac:dyDescent="0.25">
      <c r="A1133" t="s">
        <v>338</v>
      </c>
      <c r="B1133" t="s">
        <v>361</v>
      </c>
      <c r="C1133" s="2">
        <f>HYPERLINK("https://svao.dolgi.msk.ru/account/1760260125/", 1760260125)</f>
        <v>1760260125</v>
      </c>
      <c r="D1133">
        <v>7586.74</v>
      </c>
    </row>
    <row r="1134" spans="1:4" x14ac:dyDescent="0.25">
      <c r="A1134" t="s">
        <v>338</v>
      </c>
      <c r="B1134" t="s">
        <v>362</v>
      </c>
      <c r="C1134" s="2">
        <f>HYPERLINK("https://svao.dolgi.msk.ru/account/1760260133/", 1760260133)</f>
        <v>1760260133</v>
      </c>
      <c r="D1134">
        <v>10154.959999999999</v>
      </c>
    </row>
    <row r="1135" spans="1:4" x14ac:dyDescent="0.25">
      <c r="A1135" t="s">
        <v>338</v>
      </c>
      <c r="B1135" t="s">
        <v>363</v>
      </c>
      <c r="C1135" s="2">
        <f>HYPERLINK("https://svao.dolgi.msk.ru/account/1760260141/", 1760260141)</f>
        <v>1760260141</v>
      </c>
      <c r="D1135">
        <v>11247.95</v>
      </c>
    </row>
    <row r="1136" spans="1:4" x14ac:dyDescent="0.25">
      <c r="A1136" t="s">
        <v>338</v>
      </c>
      <c r="B1136" t="s">
        <v>364</v>
      </c>
      <c r="C1136" s="2">
        <f>HYPERLINK("https://svao.dolgi.msk.ru/account/1760260213/", 1760260213)</f>
        <v>1760260213</v>
      </c>
      <c r="D1136">
        <v>123402.86</v>
      </c>
    </row>
    <row r="1137" spans="1:4" x14ac:dyDescent="0.25">
      <c r="A1137" t="s">
        <v>365</v>
      </c>
      <c r="B1137" t="s">
        <v>5</v>
      </c>
      <c r="C1137" s="2">
        <f>HYPERLINK("https://svao.dolgi.msk.ru/account/1768019803/", 1768019803)</f>
        <v>1768019803</v>
      </c>
      <c r="D1137">
        <v>3602.18</v>
      </c>
    </row>
    <row r="1138" spans="1:4" x14ac:dyDescent="0.25">
      <c r="A1138" t="s">
        <v>365</v>
      </c>
      <c r="B1138" t="s">
        <v>102</v>
      </c>
      <c r="C1138" s="2">
        <f>HYPERLINK("https://svao.dolgi.msk.ru/account/1768001603/", 1768001603)</f>
        <v>1768001603</v>
      </c>
      <c r="D1138">
        <v>1533.96</v>
      </c>
    </row>
    <row r="1139" spans="1:4" x14ac:dyDescent="0.25">
      <c r="A1139" t="s">
        <v>365</v>
      </c>
      <c r="B1139" t="s">
        <v>12</v>
      </c>
      <c r="C1139" s="2">
        <f>HYPERLINK("https://svao.dolgi.msk.ru/account/1768001574/", 1768001574)</f>
        <v>1768001574</v>
      </c>
      <c r="D1139">
        <v>4044.4</v>
      </c>
    </row>
    <row r="1140" spans="1:4" x14ac:dyDescent="0.25">
      <c r="A1140" t="s">
        <v>365</v>
      </c>
      <c r="B1140" t="s">
        <v>108</v>
      </c>
      <c r="C1140" s="2">
        <f>HYPERLINK("https://svao.dolgi.msk.ru/account/1768019993/", 1768019993)</f>
        <v>1768019993</v>
      </c>
      <c r="D1140">
        <v>3846.58</v>
      </c>
    </row>
    <row r="1141" spans="1:4" x14ac:dyDescent="0.25">
      <c r="A1141" t="s">
        <v>365</v>
      </c>
      <c r="B1141" t="s">
        <v>20</v>
      </c>
      <c r="C1141" s="2">
        <f>HYPERLINK("https://svao.dolgi.msk.ru/account/1768020054/", 1768020054)</f>
        <v>1768020054</v>
      </c>
      <c r="D1141">
        <v>26538.43</v>
      </c>
    </row>
    <row r="1142" spans="1:4" x14ac:dyDescent="0.25">
      <c r="A1142" t="s">
        <v>365</v>
      </c>
      <c r="B1142" t="s">
        <v>93</v>
      </c>
      <c r="C1142" s="2">
        <f>HYPERLINK("https://svao.dolgi.msk.ru/account/1768020089/", 1768020089)</f>
        <v>1768020089</v>
      </c>
      <c r="D1142">
        <v>2314.79</v>
      </c>
    </row>
    <row r="1143" spans="1:4" x14ac:dyDescent="0.25">
      <c r="A1143" t="s">
        <v>365</v>
      </c>
      <c r="B1143" t="s">
        <v>94</v>
      </c>
      <c r="C1143" s="2">
        <f>HYPERLINK("https://svao.dolgi.msk.ru/account/1768020118/", 1768020118)</f>
        <v>1768020118</v>
      </c>
      <c r="D1143">
        <v>8673.23</v>
      </c>
    </row>
    <row r="1144" spans="1:4" x14ac:dyDescent="0.25">
      <c r="A1144" t="s">
        <v>365</v>
      </c>
      <c r="B1144" t="s">
        <v>114</v>
      </c>
      <c r="C1144" s="2">
        <f>HYPERLINK("https://svao.dolgi.msk.ru/account/1768020142/", 1768020142)</f>
        <v>1768020142</v>
      </c>
      <c r="D1144">
        <v>6238.38</v>
      </c>
    </row>
    <row r="1145" spans="1:4" x14ac:dyDescent="0.25">
      <c r="A1145" t="s">
        <v>365</v>
      </c>
      <c r="B1145" t="s">
        <v>117</v>
      </c>
      <c r="C1145" s="2">
        <f>HYPERLINK("https://svao.dolgi.msk.ru/account/1768020206/", 1768020206)</f>
        <v>1768020206</v>
      </c>
      <c r="D1145">
        <v>3427.38</v>
      </c>
    </row>
    <row r="1146" spans="1:4" x14ac:dyDescent="0.25">
      <c r="A1146" t="s">
        <v>365</v>
      </c>
      <c r="B1146" t="s">
        <v>95</v>
      </c>
      <c r="C1146" s="2">
        <f>HYPERLINK("https://svao.dolgi.msk.ru/account/1768020265/", 1768020265)</f>
        <v>1768020265</v>
      </c>
      <c r="D1146">
        <v>7184.56</v>
      </c>
    </row>
    <row r="1147" spans="1:4" x14ac:dyDescent="0.25">
      <c r="A1147" t="s">
        <v>365</v>
      </c>
      <c r="B1147" t="s">
        <v>131</v>
      </c>
      <c r="C1147" s="2">
        <f>HYPERLINK("https://svao.dolgi.msk.ru/account/1768020273/", 1768020273)</f>
        <v>1768020273</v>
      </c>
      <c r="D1147">
        <v>3488.56</v>
      </c>
    </row>
    <row r="1148" spans="1:4" x14ac:dyDescent="0.25">
      <c r="A1148" t="s">
        <v>365</v>
      </c>
      <c r="B1148" t="s">
        <v>126</v>
      </c>
      <c r="C1148" s="2">
        <f>HYPERLINK("https://svao.dolgi.msk.ru/account/1768020302/", 1768020302)</f>
        <v>1768020302</v>
      </c>
      <c r="D1148">
        <v>1519.47</v>
      </c>
    </row>
    <row r="1149" spans="1:4" x14ac:dyDescent="0.25">
      <c r="A1149" t="s">
        <v>365</v>
      </c>
      <c r="B1149" t="s">
        <v>128</v>
      </c>
      <c r="C1149" s="2">
        <f>HYPERLINK("https://svao.dolgi.msk.ru/account/1768020361/", 1768020361)</f>
        <v>1768020361</v>
      </c>
      <c r="D1149">
        <v>7373.74</v>
      </c>
    </row>
    <row r="1150" spans="1:4" x14ac:dyDescent="0.25">
      <c r="A1150" t="s">
        <v>365</v>
      </c>
      <c r="B1150" t="s">
        <v>83</v>
      </c>
      <c r="C1150" s="2">
        <f>HYPERLINK("https://svao.dolgi.msk.ru/account/1768001515/", 1768001515)</f>
        <v>1768001515</v>
      </c>
      <c r="D1150">
        <v>5757.16</v>
      </c>
    </row>
    <row r="1151" spans="1:4" x14ac:dyDescent="0.25">
      <c r="A1151" t="s">
        <v>365</v>
      </c>
      <c r="B1151" t="s">
        <v>133</v>
      </c>
      <c r="C1151" s="2">
        <f>HYPERLINK("https://svao.dolgi.msk.ru/account/1768020409/", 1768020409)</f>
        <v>1768020409</v>
      </c>
      <c r="D1151">
        <v>4122.1000000000004</v>
      </c>
    </row>
    <row r="1152" spans="1:4" x14ac:dyDescent="0.25">
      <c r="A1152" t="s">
        <v>365</v>
      </c>
      <c r="B1152" t="s">
        <v>243</v>
      </c>
      <c r="C1152" s="2">
        <f>HYPERLINK("https://svao.dolgi.msk.ru/account/1768020433/", 1768020433)</f>
        <v>1768020433</v>
      </c>
      <c r="D1152">
        <v>4331.54</v>
      </c>
    </row>
    <row r="1153" spans="1:4" x14ac:dyDescent="0.25">
      <c r="A1153" t="s">
        <v>365</v>
      </c>
      <c r="B1153" t="s">
        <v>121</v>
      </c>
      <c r="C1153" s="2">
        <f>HYPERLINK("https://svao.dolgi.msk.ru/account/1768020441/", 1768020441)</f>
        <v>1768020441</v>
      </c>
      <c r="D1153">
        <v>3796.62</v>
      </c>
    </row>
    <row r="1154" spans="1:4" x14ac:dyDescent="0.25">
      <c r="A1154" t="s">
        <v>365</v>
      </c>
      <c r="B1154" t="s">
        <v>129</v>
      </c>
      <c r="C1154" s="2">
        <f>HYPERLINK("https://svao.dolgi.msk.ru/account/1768020505/", 1768020505)</f>
        <v>1768020505</v>
      </c>
      <c r="D1154">
        <v>3740.36</v>
      </c>
    </row>
    <row r="1155" spans="1:4" x14ac:dyDescent="0.25">
      <c r="A1155" t="s">
        <v>365</v>
      </c>
      <c r="B1155" t="s">
        <v>30</v>
      </c>
      <c r="C1155" s="2">
        <f>HYPERLINK("https://svao.dolgi.msk.ru/account/1768001646/", 1768001646)</f>
        <v>1768001646</v>
      </c>
      <c r="D1155">
        <v>1998.11</v>
      </c>
    </row>
    <row r="1156" spans="1:4" x14ac:dyDescent="0.25">
      <c r="A1156" t="s">
        <v>365</v>
      </c>
      <c r="B1156" t="s">
        <v>97</v>
      </c>
      <c r="C1156" s="2">
        <f>HYPERLINK("https://svao.dolgi.msk.ru/account/1768020513/", 1768020513)</f>
        <v>1768020513</v>
      </c>
      <c r="D1156">
        <v>3294.05</v>
      </c>
    </row>
    <row r="1157" spans="1:4" x14ac:dyDescent="0.25">
      <c r="A1157" t="s">
        <v>365</v>
      </c>
      <c r="B1157" t="s">
        <v>291</v>
      </c>
      <c r="C1157" s="2">
        <f>HYPERLINK("https://svao.dolgi.msk.ru/account/1768020556/", 1768020556)</f>
        <v>1768020556</v>
      </c>
      <c r="D1157">
        <v>4371.71</v>
      </c>
    </row>
    <row r="1158" spans="1:4" x14ac:dyDescent="0.25">
      <c r="A1158" t="s">
        <v>365</v>
      </c>
      <c r="B1158" t="s">
        <v>85</v>
      </c>
      <c r="C1158" s="2">
        <f>HYPERLINK("https://svao.dolgi.msk.ru/account/1768020572/", 1768020572)</f>
        <v>1768020572</v>
      </c>
      <c r="D1158">
        <v>243.69</v>
      </c>
    </row>
    <row r="1159" spans="1:4" x14ac:dyDescent="0.25">
      <c r="A1159" t="s">
        <v>366</v>
      </c>
      <c r="B1159" t="s">
        <v>6</v>
      </c>
      <c r="C1159" s="2">
        <f>HYPERLINK("https://svao.dolgi.msk.ru/account/1768045649/", 1768045649)</f>
        <v>1768045649</v>
      </c>
      <c r="D1159">
        <v>1074.69</v>
      </c>
    </row>
    <row r="1160" spans="1:4" x14ac:dyDescent="0.25">
      <c r="A1160" t="s">
        <v>366</v>
      </c>
      <c r="B1160" t="s">
        <v>41</v>
      </c>
      <c r="C1160" s="2">
        <f>HYPERLINK("https://svao.dolgi.msk.ru/account/1768045657/", 1768045657)</f>
        <v>1768045657</v>
      </c>
      <c r="D1160">
        <v>2280.9699999999998</v>
      </c>
    </row>
    <row r="1161" spans="1:4" x14ac:dyDescent="0.25">
      <c r="A1161" t="s">
        <v>366</v>
      </c>
      <c r="B1161" t="s">
        <v>7</v>
      </c>
      <c r="C1161" s="2">
        <f>HYPERLINK("https://svao.dolgi.msk.ru/account/1768045673/", 1768045673)</f>
        <v>1768045673</v>
      </c>
      <c r="D1161">
        <v>932.34</v>
      </c>
    </row>
    <row r="1162" spans="1:4" x14ac:dyDescent="0.25">
      <c r="A1162" t="s">
        <v>366</v>
      </c>
      <c r="B1162" t="s">
        <v>141</v>
      </c>
      <c r="C1162" s="2">
        <f>HYPERLINK("https://svao.dolgi.msk.ru/account/1768045702/", 1768045702)</f>
        <v>1768045702</v>
      </c>
      <c r="D1162">
        <v>1006.89</v>
      </c>
    </row>
    <row r="1163" spans="1:4" x14ac:dyDescent="0.25">
      <c r="A1163" t="s">
        <v>366</v>
      </c>
      <c r="B1163" t="s">
        <v>8</v>
      </c>
      <c r="C1163" s="2">
        <f>HYPERLINK("https://svao.dolgi.msk.ru/account/1768045761/", 1768045761)</f>
        <v>1768045761</v>
      </c>
      <c r="D1163">
        <v>2703.17</v>
      </c>
    </row>
    <row r="1164" spans="1:4" x14ac:dyDescent="0.25">
      <c r="A1164" t="s">
        <v>366</v>
      </c>
      <c r="B1164" t="s">
        <v>74</v>
      </c>
      <c r="C1164" s="2">
        <f>HYPERLINK("https://svao.dolgi.msk.ru/account/1768045788/", 1768045788)</f>
        <v>1768045788</v>
      </c>
      <c r="D1164">
        <v>1015.16</v>
      </c>
    </row>
    <row r="1165" spans="1:4" x14ac:dyDescent="0.25">
      <c r="A1165" t="s">
        <v>366</v>
      </c>
      <c r="B1165" t="s">
        <v>12</v>
      </c>
      <c r="C1165" s="2">
        <f>HYPERLINK("https://svao.dolgi.msk.ru/account/1768045833/", 1768045833)</f>
        <v>1768045833</v>
      </c>
      <c r="D1165">
        <v>918.65</v>
      </c>
    </row>
    <row r="1166" spans="1:4" x14ac:dyDescent="0.25">
      <c r="A1166" t="s">
        <v>366</v>
      </c>
      <c r="B1166" t="s">
        <v>16</v>
      </c>
      <c r="C1166" s="2">
        <f>HYPERLINK("https://svao.dolgi.msk.ru/account/1768045892/", 1768045892)</f>
        <v>1768045892</v>
      </c>
      <c r="D1166">
        <v>1803.64</v>
      </c>
    </row>
    <row r="1167" spans="1:4" x14ac:dyDescent="0.25">
      <c r="A1167" t="s">
        <v>366</v>
      </c>
      <c r="B1167" t="s">
        <v>19</v>
      </c>
      <c r="C1167" s="2">
        <f>HYPERLINK("https://svao.dolgi.msk.ru/account/1768045921/", 1768045921)</f>
        <v>1768045921</v>
      </c>
      <c r="D1167">
        <v>972.07</v>
      </c>
    </row>
    <row r="1168" spans="1:4" x14ac:dyDescent="0.25">
      <c r="A1168" t="s">
        <v>366</v>
      </c>
      <c r="B1168" t="s">
        <v>109</v>
      </c>
      <c r="C1168" s="2">
        <f>HYPERLINK("https://svao.dolgi.msk.ru/account/1768045948/", 1768045948)</f>
        <v>1768045948</v>
      </c>
      <c r="D1168">
        <v>861.69</v>
      </c>
    </row>
    <row r="1169" spans="1:4" x14ac:dyDescent="0.25">
      <c r="A1169" t="s">
        <v>366</v>
      </c>
      <c r="B1169" t="s">
        <v>110</v>
      </c>
      <c r="C1169" s="2">
        <f>HYPERLINK("https://svao.dolgi.msk.ru/account/1768045956/", 1768045956)</f>
        <v>1768045956</v>
      </c>
      <c r="D1169">
        <v>343.84</v>
      </c>
    </row>
    <row r="1170" spans="1:4" x14ac:dyDescent="0.25">
      <c r="A1170" t="s">
        <v>366</v>
      </c>
      <c r="B1170" t="s">
        <v>20</v>
      </c>
      <c r="C1170" s="2">
        <f>HYPERLINK("https://svao.dolgi.msk.ru/account/1768004783/", 1768004783)</f>
        <v>1768004783</v>
      </c>
      <c r="D1170">
        <v>825.99</v>
      </c>
    </row>
    <row r="1171" spans="1:4" x14ac:dyDescent="0.25">
      <c r="A1171" t="s">
        <v>366</v>
      </c>
      <c r="B1171" t="s">
        <v>111</v>
      </c>
      <c r="C1171" s="2">
        <f>HYPERLINK("https://svao.dolgi.msk.ru/account/1768045999/", 1768045999)</f>
        <v>1768045999</v>
      </c>
      <c r="D1171">
        <v>281.10000000000002</v>
      </c>
    </row>
    <row r="1172" spans="1:4" x14ac:dyDescent="0.25">
      <c r="A1172" t="s">
        <v>366</v>
      </c>
      <c r="B1172" t="s">
        <v>94</v>
      </c>
      <c r="C1172" s="2">
        <f>HYPERLINK("https://svao.dolgi.msk.ru/account/1768046019/", 1768046019)</f>
        <v>1768046019</v>
      </c>
      <c r="D1172">
        <v>404.96</v>
      </c>
    </row>
    <row r="1173" spans="1:4" x14ac:dyDescent="0.25">
      <c r="A1173" t="s">
        <v>366</v>
      </c>
      <c r="B1173" t="s">
        <v>77</v>
      </c>
      <c r="C1173" s="2">
        <f>HYPERLINK("https://svao.dolgi.msk.ru/account/1768046035/", 1768046035)</f>
        <v>1768046035</v>
      </c>
      <c r="D1173">
        <v>333</v>
      </c>
    </row>
    <row r="1174" spans="1:4" x14ac:dyDescent="0.25">
      <c r="A1174" t="s">
        <v>366</v>
      </c>
      <c r="B1174" t="s">
        <v>22</v>
      </c>
      <c r="C1174" s="2">
        <f>HYPERLINK("https://svao.dolgi.msk.ru/account/1768046078/", 1768046078)</f>
        <v>1768046078</v>
      </c>
      <c r="D1174">
        <v>111.88</v>
      </c>
    </row>
    <row r="1175" spans="1:4" x14ac:dyDescent="0.25">
      <c r="A1175" t="s">
        <v>366</v>
      </c>
      <c r="B1175" t="s">
        <v>124</v>
      </c>
      <c r="C1175" s="2">
        <f>HYPERLINK("https://svao.dolgi.msk.ru/account/1768046094/", 1768046094)</f>
        <v>1768046094</v>
      </c>
      <c r="D1175">
        <v>6219.97</v>
      </c>
    </row>
    <row r="1176" spans="1:4" x14ac:dyDescent="0.25">
      <c r="A1176" t="s">
        <v>366</v>
      </c>
      <c r="B1176" t="s">
        <v>115</v>
      </c>
      <c r="C1176" s="2">
        <f>HYPERLINK("https://svao.dolgi.msk.ru/account/1768046115/", 1768046115)</f>
        <v>1768046115</v>
      </c>
      <c r="D1176">
        <v>1074.69</v>
      </c>
    </row>
    <row r="1177" spans="1:4" x14ac:dyDescent="0.25">
      <c r="A1177" t="s">
        <v>366</v>
      </c>
      <c r="B1177" t="s">
        <v>320</v>
      </c>
      <c r="C1177" s="2">
        <f>HYPERLINK("https://svao.dolgi.msk.ru/account/1768046123/", 1768046123)</f>
        <v>1768046123</v>
      </c>
      <c r="D1177">
        <v>155.91999999999999</v>
      </c>
    </row>
    <row r="1178" spans="1:4" x14ac:dyDescent="0.25">
      <c r="A1178" t="s">
        <v>366</v>
      </c>
      <c r="B1178" t="s">
        <v>125</v>
      </c>
      <c r="C1178" s="2">
        <f>HYPERLINK("https://svao.dolgi.msk.ru/account/1768046166/", 1768046166)</f>
        <v>1768046166</v>
      </c>
      <c r="D1178">
        <v>2806.59</v>
      </c>
    </row>
    <row r="1179" spans="1:4" x14ac:dyDescent="0.25">
      <c r="A1179" t="s">
        <v>366</v>
      </c>
      <c r="B1179" t="s">
        <v>127</v>
      </c>
      <c r="C1179" s="2">
        <f>HYPERLINK("https://svao.dolgi.msk.ru/account/1768046203/", 1768046203)</f>
        <v>1768046203</v>
      </c>
      <c r="D1179">
        <v>531.79</v>
      </c>
    </row>
    <row r="1180" spans="1:4" x14ac:dyDescent="0.25">
      <c r="A1180" t="s">
        <v>366</v>
      </c>
      <c r="B1180" t="s">
        <v>82</v>
      </c>
      <c r="C1180" s="2">
        <f>HYPERLINK("https://svao.dolgi.msk.ru/account/1768046246/", 1768046246)</f>
        <v>1768046246</v>
      </c>
      <c r="D1180">
        <v>494.54</v>
      </c>
    </row>
    <row r="1181" spans="1:4" x14ac:dyDescent="0.25">
      <c r="A1181" t="s">
        <v>366</v>
      </c>
      <c r="B1181" t="s">
        <v>128</v>
      </c>
      <c r="C1181" s="2">
        <f>HYPERLINK("https://svao.dolgi.msk.ru/account/1768004804/", 1768004804)</f>
        <v>1768004804</v>
      </c>
      <c r="D1181">
        <v>522.57000000000005</v>
      </c>
    </row>
    <row r="1182" spans="1:4" x14ac:dyDescent="0.25">
      <c r="A1182" t="s">
        <v>366</v>
      </c>
      <c r="B1182" t="s">
        <v>133</v>
      </c>
      <c r="C1182" s="2">
        <f>HYPERLINK("https://svao.dolgi.msk.ru/account/1768046318/", 1768046318)</f>
        <v>1768046318</v>
      </c>
      <c r="D1182">
        <v>1687.25</v>
      </c>
    </row>
    <row r="1183" spans="1:4" x14ac:dyDescent="0.25">
      <c r="A1183" t="s">
        <v>366</v>
      </c>
      <c r="B1183" t="s">
        <v>243</v>
      </c>
      <c r="C1183" s="2">
        <f>HYPERLINK("https://svao.dolgi.msk.ru/account/1768046369/", 1768046369)</f>
        <v>1768046369</v>
      </c>
      <c r="D1183">
        <v>178.91</v>
      </c>
    </row>
    <row r="1184" spans="1:4" x14ac:dyDescent="0.25">
      <c r="A1184" t="s">
        <v>366</v>
      </c>
      <c r="B1184" t="s">
        <v>129</v>
      </c>
      <c r="C1184" s="2">
        <f>HYPERLINK("https://svao.dolgi.msk.ru/account/1768046449/", 1768046449)</f>
        <v>1768046449</v>
      </c>
      <c r="D1184">
        <v>101.75</v>
      </c>
    </row>
    <row r="1185" spans="1:4" x14ac:dyDescent="0.25">
      <c r="A1185" t="s">
        <v>367</v>
      </c>
      <c r="B1185" t="s">
        <v>101</v>
      </c>
      <c r="C1185" s="2">
        <f>HYPERLINK("https://svao.dolgi.msk.ru/account/1768016688/", 1768016688)</f>
        <v>1768016688</v>
      </c>
      <c r="D1185">
        <v>8190.16</v>
      </c>
    </row>
    <row r="1186" spans="1:4" x14ac:dyDescent="0.25">
      <c r="A1186" t="s">
        <v>367</v>
      </c>
      <c r="B1186" t="s">
        <v>141</v>
      </c>
      <c r="C1186" s="2">
        <f>HYPERLINK("https://svao.dolgi.msk.ru/account/1768016696/", 1768016696)</f>
        <v>1768016696</v>
      </c>
      <c r="D1186">
        <v>1350.88</v>
      </c>
    </row>
    <row r="1187" spans="1:4" x14ac:dyDescent="0.25">
      <c r="A1187" t="s">
        <v>367</v>
      </c>
      <c r="B1187" t="s">
        <v>102</v>
      </c>
      <c r="C1187" s="2">
        <f>HYPERLINK("https://svao.dolgi.msk.ru/account/1768016709/", 1768016709)</f>
        <v>1768016709</v>
      </c>
      <c r="D1187">
        <v>198.37</v>
      </c>
    </row>
    <row r="1188" spans="1:4" x14ac:dyDescent="0.25">
      <c r="A1188" t="s">
        <v>367</v>
      </c>
      <c r="B1188" t="s">
        <v>73</v>
      </c>
      <c r="C1188" s="2">
        <f>HYPERLINK("https://svao.dolgi.msk.ru/account/1768016725/", 1768016725)</f>
        <v>1768016725</v>
      </c>
      <c r="D1188">
        <v>4010.68</v>
      </c>
    </row>
    <row r="1189" spans="1:4" x14ac:dyDescent="0.25">
      <c r="A1189" t="s">
        <v>367</v>
      </c>
      <c r="B1189" t="s">
        <v>8</v>
      </c>
      <c r="C1189" s="2">
        <f>HYPERLINK("https://svao.dolgi.msk.ru/account/1768016741/", 1768016741)</f>
        <v>1768016741</v>
      </c>
      <c r="D1189">
        <v>1926.08</v>
      </c>
    </row>
    <row r="1190" spans="1:4" x14ac:dyDescent="0.25">
      <c r="A1190" t="s">
        <v>367</v>
      </c>
      <c r="B1190" t="s">
        <v>74</v>
      </c>
      <c r="C1190" s="2">
        <f>HYPERLINK("https://svao.dolgi.msk.ru/account/1768016768/", 1768016768)</f>
        <v>1768016768</v>
      </c>
      <c r="D1190">
        <v>1628.46</v>
      </c>
    </row>
    <row r="1191" spans="1:4" x14ac:dyDescent="0.25">
      <c r="A1191" t="s">
        <v>367</v>
      </c>
      <c r="B1191" t="s">
        <v>75</v>
      </c>
      <c r="C1191" s="2">
        <f>HYPERLINK("https://svao.dolgi.msk.ru/account/1768016784/", 1768016784)</f>
        <v>1768016784</v>
      </c>
      <c r="D1191">
        <v>5590.26</v>
      </c>
    </row>
    <row r="1192" spans="1:4" x14ac:dyDescent="0.25">
      <c r="A1192" t="s">
        <v>367</v>
      </c>
      <c r="B1192" t="s">
        <v>14</v>
      </c>
      <c r="C1192" s="2">
        <f>HYPERLINK("https://svao.dolgi.msk.ru/account/1768016813/", 1768016813)</f>
        <v>1768016813</v>
      </c>
      <c r="D1192">
        <v>507008.68</v>
      </c>
    </row>
    <row r="1193" spans="1:4" x14ac:dyDescent="0.25">
      <c r="A1193" t="s">
        <v>367</v>
      </c>
      <c r="B1193" t="s">
        <v>16</v>
      </c>
      <c r="C1193" s="2">
        <f>HYPERLINK("https://svao.dolgi.msk.ru/account/1768016872/", 1768016872)</f>
        <v>1768016872</v>
      </c>
      <c r="D1193">
        <v>4115.53</v>
      </c>
    </row>
    <row r="1194" spans="1:4" x14ac:dyDescent="0.25">
      <c r="A1194" t="s">
        <v>367</v>
      </c>
      <c r="B1194" t="s">
        <v>17</v>
      </c>
      <c r="C1194" s="2">
        <f>HYPERLINK("https://svao.dolgi.msk.ru/account/1768016899/", 1768016899)</f>
        <v>1768016899</v>
      </c>
      <c r="D1194">
        <v>22510.11</v>
      </c>
    </row>
    <row r="1195" spans="1:4" x14ac:dyDescent="0.25">
      <c r="A1195" t="s">
        <v>367</v>
      </c>
      <c r="B1195" t="s">
        <v>109</v>
      </c>
      <c r="C1195" s="2">
        <f>HYPERLINK("https://svao.dolgi.msk.ru/account/1768007466/", 1768007466)</f>
        <v>1768007466</v>
      </c>
      <c r="D1195">
        <v>4708.75</v>
      </c>
    </row>
    <row r="1196" spans="1:4" x14ac:dyDescent="0.25">
      <c r="A1196" t="s">
        <v>367</v>
      </c>
      <c r="B1196" t="s">
        <v>20</v>
      </c>
      <c r="C1196" s="2">
        <f>HYPERLINK("https://svao.dolgi.msk.ru/account/1768016936/", 1768016936)</f>
        <v>1768016936</v>
      </c>
      <c r="D1196">
        <v>1519.65</v>
      </c>
    </row>
    <row r="1197" spans="1:4" x14ac:dyDescent="0.25">
      <c r="A1197" t="s">
        <v>367</v>
      </c>
      <c r="B1197" t="s">
        <v>93</v>
      </c>
      <c r="C1197" s="2">
        <f>HYPERLINK("https://svao.dolgi.msk.ru/account/1768016979/", 1768016979)</f>
        <v>1768016979</v>
      </c>
      <c r="D1197">
        <v>2429.16</v>
      </c>
    </row>
    <row r="1198" spans="1:4" x14ac:dyDescent="0.25">
      <c r="A1198" t="s">
        <v>367</v>
      </c>
      <c r="B1198" t="s">
        <v>77</v>
      </c>
      <c r="C1198" s="2">
        <f>HYPERLINK("https://svao.dolgi.msk.ru/account/1768017015/", 1768017015)</f>
        <v>1768017015</v>
      </c>
      <c r="D1198">
        <v>2740.38</v>
      </c>
    </row>
    <row r="1199" spans="1:4" x14ac:dyDescent="0.25">
      <c r="A1199" t="s">
        <v>367</v>
      </c>
      <c r="B1199" t="s">
        <v>114</v>
      </c>
      <c r="C1199" s="2">
        <f>HYPERLINK("https://svao.dolgi.msk.ru/account/1768017023/", 1768017023)</f>
        <v>1768017023</v>
      </c>
      <c r="D1199">
        <v>820.62</v>
      </c>
    </row>
    <row r="1200" spans="1:4" x14ac:dyDescent="0.25">
      <c r="A1200" t="s">
        <v>367</v>
      </c>
      <c r="B1200" t="s">
        <v>115</v>
      </c>
      <c r="C1200" s="2">
        <f>HYPERLINK("https://svao.dolgi.msk.ru/account/1768017074/", 1768017074)</f>
        <v>1768017074</v>
      </c>
      <c r="D1200">
        <v>3434.58</v>
      </c>
    </row>
    <row r="1201" spans="1:4" x14ac:dyDescent="0.25">
      <c r="A1201" t="s">
        <v>367</v>
      </c>
      <c r="B1201" t="s">
        <v>320</v>
      </c>
      <c r="C1201" s="2">
        <f>HYPERLINK("https://svao.dolgi.msk.ru/account/1768017082/", 1768017082)</f>
        <v>1768017082</v>
      </c>
      <c r="D1201">
        <v>6023.45</v>
      </c>
    </row>
    <row r="1202" spans="1:4" x14ac:dyDescent="0.25">
      <c r="A1202" t="s">
        <v>367</v>
      </c>
      <c r="B1202" t="s">
        <v>82</v>
      </c>
      <c r="C1202" s="2">
        <f>HYPERLINK("https://svao.dolgi.msk.ru/account/1768017242/", 1768017242)</f>
        <v>1768017242</v>
      </c>
      <c r="D1202">
        <v>866.29</v>
      </c>
    </row>
    <row r="1203" spans="1:4" x14ac:dyDescent="0.25">
      <c r="A1203" t="s">
        <v>367</v>
      </c>
      <c r="B1203" t="s">
        <v>132</v>
      </c>
      <c r="C1203" s="2">
        <f>HYPERLINK("https://svao.dolgi.msk.ru/account/1768017293/", 1768017293)</f>
        <v>1768017293</v>
      </c>
      <c r="D1203">
        <v>3395.79</v>
      </c>
    </row>
    <row r="1204" spans="1:4" x14ac:dyDescent="0.25">
      <c r="A1204" t="s">
        <v>367</v>
      </c>
      <c r="B1204" t="s">
        <v>133</v>
      </c>
      <c r="C1204" s="2">
        <f>HYPERLINK("https://svao.dolgi.msk.ru/account/1768017314/", 1768017314)</f>
        <v>1768017314</v>
      </c>
      <c r="D1204">
        <v>5466.99</v>
      </c>
    </row>
    <row r="1205" spans="1:4" x14ac:dyDescent="0.25">
      <c r="A1205" t="s">
        <v>367</v>
      </c>
      <c r="B1205" t="s">
        <v>96</v>
      </c>
      <c r="C1205" s="2">
        <f>HYPERLINK("https://svao.dolgi.msk.ru/account/1768007538/", 1768007538)</f>
        <v>1768007538</v>
      </c>
      <c r="D1205">
        <v>3344.94</v>
      </c>
    </row>
    <row r="1206" spans="1:4" x14ac:dyDescent="0.25">
      <c r="A1206" t="s">
        <v>367</v>
      </c>
      <c r="B1206" t="s">
        <v>290</v>
      </c>
      <c r="C1206" s="2">
        <f>HYPERLINK("https://svao.dolgi.msk.ru/account/1768017349/", 1768017349)</f>
        <v>1768017349</v>
      </c>
      <c r="D1206">
        <v>3550.17</v>
      </c>
    </row>
    <row r="1207" spans="1:4" x14ac:dyDescent="0.25">
      <c r="A1207" t="s">
        <v>367</v>
      </c>
      <c r="B1207" t="s">
        <v>134</v>
      </c>
      <c r="C1207" s="2">
        <f>HYPERLINK("https://svao.dolgi.msk.ru/account/1768007562/", 1768007562)</f>
        <v>1768007562</v>
      </c>
      <c r="D1207">
        <v>2333.7600000000002</v>
      </c>
    </row>
    <row r="1208" spans="1:4" x14ac:dyDescent="0.25">
      <c r="A1208" t="s">
        <v>367</v>
      </c>
      <c r="B1208" t="s">
        <v>28</v>
      </c>
      <c r="C1208" s="2">
        <f>HYPERLINK("https://svao.dolgi.msk.ru/account/1768007394/", 1768007394)</f>
        <v>1768007394</v>
      </c>
      <c r="D1208">
        <v>236.05</v>
      </c>
    </row>
    <row r="1209" spans="1:4" x14ac:dyDescent="0.25">
      <c r="A1209" t="s">
        <v>367</v>
      </c>
      <c r="B1209" t="s">
        <v>29</v>
      </c>
      <c r="C1209" s="2">
        <f>HYPERLINK("https://svao.dolgi.msk.ru/account/1768017381/", 1768017381)</f>
        <v>1768017381</v>
      </c>
      <c r="D1209">
        <v>3518.5</v>
      </c>
    </row>
    <row r="1210" spans="1:4" x14ac:dyDescent="0.25">
      <c r="A1210" t="s">
        <v>367</v>
      </c>
      <c r="B1210" t="s">
        <v>84</v>
      </c>
      <c r="C1210" s="2">
        <f>HYPERLINK("https://svao.dolgi.msk.ru/account/1768017445/", 1768017445)</f>
        <v>1768017445</v>
      </c>
      <c r="D1210">
        <v>173.56</v>
      </c>
    </row>
    <row r="1211" spans="1:4" x14ac:dyDescent="0.25">
      <c r="A1211" t="s">
        <v>367</v>
      </c>
      <c r="B1211" t="s">
        <v>98</v>
      </c>
      <c r="C1211" s="2">
        <f>HYPERLINK("https://svao.dolgi.msk.ru/account/1768017461/", 1768017461)</f>
        <v>1768017461</v>
      </c>
      <c r="D1211">
        <v>252.95</v>
      </c>
    </row>
    <row r="1212" spans="1:4" x14ac:dyDescent="0.25">
      <c r="A1212" t="s">
        <v>367</v>
      </c>
      <c r="B1212" t="s">
        <v>291</v>
      </c>
      <c r="C1212" s="2">
        <f>HYPERLINK("https://svao.dolgi.msk.ru/account/1768007431/", 1768007431)</f>
        <v>1768007431</v>
      </c>
      <c r="D1212">
        <v>3646.74</v>
      </c>
    </row>
    <row r="1213" spans="1:4" x14ac:dyDescent="0.25">
      <c r="A1213" t="s">
        <v>367</v>
      </c>
      <c r="B1213" t="s">
        <v>32</v>
      </c>
      <c r="C1213" s="2">
        <f>HYPERLINK("https://svao.dolgi.msk.ru/account/1768017488/", 1768017488)</f>
        <v>1768017488</v>
      </c>
      <c r="D1213">
        <v>5970.37</v>
      </c>
    </row>
    <row r="1214" spans="1:4" x14ac:dyDescent="0.25">
      <c r="A1214" t="s">
        <v>367</v>
      </c>
      <c r="B1214" t="s">
        <v>34</v>
      </c>
      <c r="C1214" s="2">
        <f>HYPERLINK("https://svao.dolgi.msk.ru/account/1768017509/", 1768017509)</f>
        <v>1768017509</v>
      </c>
      <c r="D1214">
        <v>4146.92</v>
      </c>
    </row>
    <row r="1215" spans="1:4" x14ac:dyDescent="0.25">
      <c r="A1215" t="s">
        <v>367</v>
      </c>
      <c r="B1215" t="s">
        <v>35</v>
      </c>
      <c r="C1215" s="2">
        <f>HYPERLINK("https://svao.dolgi.msk.ru/account/1768007298/", 1768007298)</f>
        <v>1768007298</v>
      </c>
      <c r="D1215">
        <v>6332.19</v>
      </c>
    </row>
    <row r="1216" spans="1:4" x14ac:dyDescent="0.25">
      <c r="A1216" t="s">
        <v>367</v>
      </c>
      <c r="B1216" t="s">
        <v>135</v>
      </c>
      <c r="C1216" s="2">
        <f>HYPERLINK("https://svao.dolgi.msk.ru/account/1768017525/", 1768017525)</f>
        <v>1768017525</v>
      </c>
      <c r="D1216">
        <v>4488.72</v>
      </c>
    </row>
    <row r="1217" spans="1:4" x14ac:dyDescent="0.25">
      <c r="A1217" t="s">
        <v>367</v>
      </c>
      <c r="B1217" t="s">
        <v>89</v>
      </c>
      <c r="C1217" s="2">
        <f>HYPERLINK("https://svao.dolgi.msk.ru/account/1768017664/", 1768017664)</f>
        <v>1768017664</v>
      </c>
      <c r="D1217">
        <v>5102.5</v>
      </c>
    </row>
    <row r="1218" spans="1:4" x14ac:dyDescent="0.25">
      <c r="A1218" t="s">
        <v>367</v>
      </c>
      <c r="B1218" t="s">
        <v>142</v>
      </c>
      <c r="C1218" s="2">
        <f>HYPERLINK("https://svao.dolgi.msk.ru/account/1768017672/", 1768017672)</f>
        <v>1768017672</v>
      </c>
      <c r="D1218">
        <v>3030.16</v>
      </c>
    </row>
    <row r="1219" spans="1:4" x14ac:dyDescent="0.25">
      <c r="A1219" t="s">
        <v>368</v>
      </c>
      <c r="B1219" t="s">
        <v>101</v>
      </c>
      <c r="C1219" s="2">
        <f>HYPERLINK("https://svao.dolgi.msk.ru/account/1760245486/", 1760245486)</f>
        <v>1760245486</v>
      </c>
      <c r="D1219">
        <v>4772.84</v>
      </c>
    </row>
    <row r="1220" spans="1:4" x14ac:dyDescent="0.25">
      <c r="A1220" t="s">
        <v>368</v>
      </c>
      <c r="B1220" t="s">
        <v>104</v>
      </c>
      <c r="C1220" s="2">
        <f>HYPERLINK("https://svao.dolgi.msk.ru/account/1760245582/", 1760245582)</f>
        <v>1760245582</v>
      </c>
      <c r="D1220">
        <v>1164.45</v>
      </c>
    </row>
    <row r="1221" spans="1:4" x14ac:dyDescent="0.25">
      <c r="A1221" t="s">
        <v>368</v>
      </c>
      <c r="B1221" t="s">
        <v>8</v>
      </c>
      <c r="C1221" s="2">
        <f>HYPERLINK("https://svao.dolgi.msk.ru/account/1760245603/", 1760245603)</f>
        <v>1760245603</v>
      </c>
      <c r="D1221">
        <v>4749.4799999999996</v>
      </c>
    </row>
    <row r="1222" spans="1:4" x14ac:dyDescent="0.25">
      <c r="A1222" t="s">
        <v>368</v>
      </c>
      <c r="B1222" t="s">
        <v>9</v>
      </c>
      <c r="C1222" s="2">
        <f>HYPERLINK("https://svao.dolgi.msk.ru/account/1761793425/", 1761793425)</f>
        <v>1761793425</v>
      </c>
      <c r="D1222">
        <v>770.38</v>
      </c>
    </row>
    <row r="1223" spans="1:4" x14ac:dyDescent="0.25">
      <c r="A1223" t="s">
        <v>368</v>
      </c>
      <c r="B1223" t="s">
        <v>75</v>
      </c>
      <c r="C1223" s="2">
        <f>HYPERLINK("https://svao.dolgi.msk.ru/account/1760245654/", 1760245654)</f>
        <v>1760245654</v>
      </c>
      <c r="D1223">
        <v>2284.23</v>
      </c>
    </row>
    <row r="1224" spans="1:4" x14ac:dyDescent="0.25">
      <c r="A1224" t="s">
        <v>368</v>
      </c>
      <c r="B1224" t="s">
        <v>91</v>
      </c>
      <c r="C1224" s="2">
        <f>HYPERLINK("https://svao.dolgi.msk.ru/account/1760245662/", 1760245662)</f>
        <v>1760245662</v>
      </c>
      <c r="D1224">
        <v>92076.14</v>
      </c>
    </row>
    <row r="1225" spans="1:4" x14ac:dyDescent="0.25">
      <c r="A1225" t="s">
        <v>368</v>
      </c>
      <c r="B1225" t="s">
        <v>10</v>
      </c>
      <c r="C1225" s="2">
        <f>HYPERLINK("https://svao.dolgi.msk.ru/account/1760245689/", 1760245689)</f>
        <v>1760245689</v>
      </c>
      <c r="D1225">
        <v>12361.21</v>
      </c>
    </row>
    <row r="1226" spans="1:4" x14ac:dyDescent="0.25">
      <c r="A1226" t="s">
        <v>368</v>
      </c>
      <c r="B1226" t="s">
        <v>219</v>
      </c>
      <c r="C1226" s="2">
        <f>HYPERLINK("https://svao.dolgi.msk.ru/account/1760245697/", 1760245697)</f>
        <v>1760245697</v>
      </c>
      <c r="D1226">
        <v>1087.52</v>
      </c>
    </row>
    <row r="1227" spans="1:4" x14ac:dyDescent="0.25">
      <c r="A1227" t="s">
        <v>368</v>
      </c>
      <c r="B1227" t="s">
        <v>13</v>
      </c>
      <c r="C1227" s="2">
        <f>HYPERLINK("https://svao.dolgi.msk.ru/account/1760245734/", 1760245734)</f>
        <v>1760245734</v>
      </c>
      <c r="D1227">
        <v>11067.46</v>
      </c>
    </row>
    <row r="1228" spans="1:4" x14ac:dyDescent="0.25">
      <c r="A1228" t="s">
        <v>368</v>
      </c>
      <c r="B1228" t="s">
        <v>13</v>
      </c>
      <c r="C1228" s="2">
        <f>HYPERLINK("https://svao.dolgi.msk.ru/account/1760245742/", 1760245742)</f>
        <v>1760245742</v>
      </c>
      <c r="D1228">
        <v>39477.949999999997</v>
      </c>
    </row>
    <row r="1229" spans="1:4" x14ac:dyDescent="0.25">
      <c r="A1229" t="s">
        <v>368</v>
      </c>
      <c r="B1229" t="s">
        <v>106</v>
      </c>
      <c r="C1229" s="2">
        <f>HYPERLINK("https://svao.dolgi.msk.ru/account/1760245793/", 1760245793)</f>
        <v>1760245793</v>
      </c>
      <c r="D1229">
        <v>6156</v>
      </c>
    </row>
    <row r="1230" spans="1:4" x14ac:dyDescent="0.25">
      <c r="A1230" t="s">
        <v>368</v>
      </c>
      <c r="B1230" t="s">
        <v>106</v>
      </c>
      <c r="C1230" s="2">
        <f>HYPERLINK("https://svao.dolgi.msk.ru/account/1760245806/", 1760245806)</f>
        <v>1760245806</v>
      </c>
      <c r="D1230">
        <v>133.12</v>
      </c>
    </row>
    <row r="1231" spans="1:4" x14ac:dyDescent="0.25">
      <c r="A1231" t="s">
        <v>368</v>
      </c>
      <c r="B1231" t="s">
        <v>18</v>
      </c>
      <c r="C1231" s="2">
        <f>HYPERLINK("https://svao.dolgi.msk.ru/account/1760245945/", 1760245945)</f>
        <v>1760245945</v>
      </c>
      <c r="D1231">
        <v>7839.08</v>
      </c>
    </row>
    <row r="1232" spans="1:4" x14ac:dyDescent="0.25">
      <c r="A1232" t="s">
        <v>368</v>
      </c>
      <c r="B1232" t="s">
        <v>20</v>
      </c>
      <c r="C1232" s="2">
        <f>HYPERLINK("https://svao.dolgi.msk.ru/account/1760246059/", 1760246059)</f>
        <v>1760246059</v>
      </c>
      <c r="D1232">
        <v>4313.29</v>
      </c>
    </row>
    <row r="1233" spans="1:4" x14ac:dyDescent="0.25">
      <c r="A1233" t="s">
        <v>368</v>
      </c>
      <c r="B1233" t="s">
        <v>21</v>
      </c>
      <c r="C1233" s="2">
        <f>HYPERLINK("https://svao.dolgi.msk.ru/account/1760246171/", 1760246171)</f>
        <v>1760246171</v>
      </c>
      <c r="D1233">
        <v>5386.55</v>
      </c>
    </row>
    <row r="1234" spans="1:4" x14ac:dyDescent="0.25">
      <c r="A1234" t="s">
        <v>368</v>
      </c>
      <c r="B1234" t="s">
        <v>77</v>
      </c>
      <c r="C1234" s="2">
        <f>HYPERLINK("https://svao.dolgi.msk.ru/account/1760246198/", 1760246198)</f>
        <v>1760246198</v>
      </c>
      <c r="D1234">
        <v>6397.45</v>
      </c>
    </row>
    <row r="1235" spans="1:4" x14ac:dyDescent="0.25">
      <c r="A1235" t="s">
        <v>368</v>
      </c>
      <c r="B1235" t="s">
        <v>79</v>
      </c>
      <c r="C1235" s="2">
        <f>HYPERLINK("https://svao.dolgi.msk.ru/account/1760246278/", 1760246278)</f>
        <v>1760246278</v>
      </c>
      <c r="D1235">
        <v>5956.46</v>
      </c>
    </row>
    <row r="1236" spans="1:4" x14ac:dyDescent="0.25">
      <c r="A1236" t="s">
        <v>368</v>
      </c>
      <c r="B1236" t="s">
        <v>23</v>
      </c>
      <c r="C1236" s="2">
        <f>HYPERLINK("https://svao.dolgi.msk.ru/account/1760246286/", 1760246286)</f>
        <v>1760246286</v>
      </c>
      <c r="D1236">
        <v>4291.04</v>
      </c>
    </row>
    <row r="1237" spans="1:4" x14ac:dyDescent="0.25">
      <c r="A1237" t="s">
        <v>368</v>
      </c>
      <c r="B1237" t="s">
        <v>124</v>
      </c>
      <c r="C1237" s="2">
        <f>HYPERLINK("https://svao.dolgi.msk.ru/account/1760246294/", 1760246294)</f>
        <v>1760246294</v>
      </c>
      <c r="D1237">
        <v>5204.6099999999997</v>
      </c>
    </row>
    <row r="1238" spans="1:4" x14ac:dyDescent="0.25">
      <c r="A1238" t="s">
        <v>369</v>
      </c>
      <c r="B1238" t="s">
        <v>41</v>
      </c>
      <c r="C1238" s="2">
        <f>HYPERLINK("https://svao.dolgi.msk.ru/account/1760027366/", 1760027366)</f>
        <v>1760027366</v>
      </c>
      <c r="D1238">
        <v>7128.65</v>
      </c>
    </row>
    <row r="1239" spans="1:4" x14ac:dyDescent="0.25">
      <c r="A1239" t="s">
        <v>369</v>
      </c>
      <c r="B1239" t="s">
        <v>141</v>
      </c>
      <c r="C1239" s="2">
        <f>HYPERLINK("https://svao.dolgi.msk.ru/account/1760027411/", 1760027411)</f>
        <v>1760027411</v>
      </c>
      <c r="D1239">
        <v>5845.08</v>
      </c>
    </row>
    <row r="1240" spans="1:4" x14ac:dyDescent="0.25">
      <c r="A1240" t="s">
        <v>369</v>
      </c>
      <c r="B1240" t="s">
        <v>102</v>
      </c>
      <c r="C1240" s="2">
        <f>HYPERLINK("https://svao.dolgi.msk.ru/account/1760027438/", 1760027438)</f>
        <v>1760027438</v>
      </c>
      <c r="D1240">
        <v>128.94</v>
      </c>
    </row>
    <row r="1241" spans="1:4" x14ac:dyDescent="0.25">
      <c r="A1241" t="s">
        <v>369</v>
      </c>
      <c r="B1241" t="s">
        <v>8</v>
      </c>
      <c r="C1241" s="2">
        <f>HYPERLINK("https://svao.dolgi.msk.ru/account/1760027489/", 1760027489)</f>
        <v>1760027489</v>
      </c>
      <c r="D1241">
        <v>12358.98</v>
      </c>
    </row>
    <row r="1242" spans="1:4" x14ac:dyDescent="0.25">
      <c r="A1242" t="s">
        <v>369</v>
      </c>
      <c r="B1242" t="s">
        <v>74</v>
      </c>
      <c r="C1242" s="2">
        <f>HYPERLINK("https://svao.dolgi.msk.ru/account/1760027497/", 1760027497)</f>
        <v>1760027497</v>
      </c>
      <c r="D1242">
        <v>9852.39</v>
      </c>
    </row>
    <row r="1243" spans="1:4" x14ac:dyDescent="0.25">
      <c r="A1243" t="s">
        <v>369</v>
      </c>
      <c r="B1243" t="s">
        <v>137</v>
      </c>
      <c r="C1243" s="2">
        <f>HYPERLINK("https://svao.dolgi.msk.ru/account/1760027518/", 1760027518)</f>
        <v>1760027518</v>
      </c>
      <c r="D1243">
        <v>6998.18</v>
      </c>
    </row>
    <row r="1244" spans="1:4" x14ac:dyDescent="0.25">
      <c r="A1244" t="s">
        <v>369</v>
      </c>
      <c r="B1244" t="s">
        <v>11</v>
      </c>
      <c r="C1244" s="2">
        <f>HYPERLINK("https://svao.dolgi.msk.ru/account/1760027585/", 1760027585)</f>
        <v>1760027585</v>
      </c>
      <c r="D1244">
        <v>7990.65</v>
      </c>
    </row>
    <row r="1245" spans="1:4" x14ac:dyDescent="0.25">
      <c r="A1245" t="s">
        <v>369</v>
      </c>
      <c r="B1245" t="s">
        <v>12</v>
      </c>
      <c r="C1245" s="2">
        <f>HYPERLINK("https://svao.dolgi.msk.ru/account/1760027593/", 1760027593)</f>
        <v>1760027593</v>
      </c>
      <c r="D1245">
        <v>4063.59</v>
      </c>
    </row>
    <row r="1246" spans="1:4" x14ac:dyDescent="0.25">
      <c r="A1246" t="s">
        <v>369</v>
      </c>
      <c r="B1246" t="s">
        <v>14</v>
      </c>
      <c r="C1246" s="2">
        <f>HYPERLINK("https://svao.dolgi.msk.ru/account/1760027614/", 1760027614)</f>
        <v>1760027614</v>
      </c>
      <c r="D1246">
        <v>7891.89</v>
      </c>
    </row>
    <row r="1247" spans="1:4" x14ac:dyDescent="0.25">
      <c r="A1247" t="s">
        <v>369</v>
      </c>
      <c r="B1247" t="s">
        <v>110</v>
      </c>
      <c r="C1247" s="2">
        <f>HYPERLINK("https://svao.dolgi.msk.ru/account/1760027745/", 1760027745)</f>
        <v>1760027745</v>
      </c>
      <c r="D1247">
        <v>6213.11</v>
      </c>
    </row>
    <row r="1248" spans="1:4" x14ac:dyDescent="0.25">
      <c r="A1248" t="s">
        <v>369</v>
      </c>
      <c r="B1248" t="s">
        <v>20</v>
      </c>
      <c r="C1248" s="2">
        <f>HYPERLINK("https://svao.dolgi.msk.ru/account/1760027753/", 1760027753)</f>
        <v>1760027753</v>
      </c>
      <c r="D1248">
        <v>229629.66</v>
      </c>
    </row>
    <row r="1249" spans="1:4" x14ac:dyDescent="0.25">
      <c r="A1249" t="s">
        <v>369</v>
      </c>
      <c r="B1249" t="s">
        <v>92</v>
      </c>
      <c r="C1249" s="2">
        <f>HYPERLINK("https://svao.dolgi.msk.ru/account/1760027796/", 1760027796)</f>
        <v>1760027796</v>
      </c>
      <c r="D1249">
        <v>176971.1</v>
      </c>
    </row>
    <row r="1250" spans="1:4" x14ac:dyDescent="0.25">
      <c r="A1250" t="s">
        <v>369</v>
      </c>
      <c r="B1250" t="s">
        <v>92</v>
      </c>
      <c r="C1250" s="2">
        <f>HYPERLINK("https://svao.dolgi.msk.ru/account/1760027809/", 1760027809)</f>
        <v>1760027809</v>
      </c>
      <c r="D1250">
        <v>233041.78</v>
      </c>
    </row>
    <row r="1251" spans="1:4" x14ac:dyDescent="0.25">
      <c r="A1251" t="s">
        <v>369</v>
      </c>
      <c r="B1251" t="s">
        <v>78</v>
      </c>
      <c r="C1251" s="2">
        <f>HYPERLINK("https://svao.dolgi.msk.ru/account/1760027956/", 1760027956)</f>
        <v>1760027956</v>
      </c>
      <c r="D1251">
        <v>4980.76</v>
      </c>
    </row>
    <row r="1252" spans="1:4" x14ac:dyDescent="0.25">
      <c r="A1252" t="s">
        <v>369</v>
      </c>
      <c r="B1252" t="s">
        <v>131</v>
      </c>
      <c r="C1252" s="2">
        <f>HYPERLINK("https://svao.dolgi.msk.ru/account/1760028115/", 1760028115)</f>
        <v>1760028115</v>
      </c>
      <c r="D1252">
        <v>6159.17</v>
      </c>
    </row>
    <row r="1253" spans="1:4" x14ac:dyDescent="0.25">
      <c r="A1253" t="s">
        <v>369</v>
      </c>
      <c r="B1253" t="s">
        <v>132</v>
      </c>
      <c r="C1253" s="2">
        <f>HYPERLINK("https://svao.dolgi.msk.ru/account/1760028318/", 1760028318)</f>
        <v>1760028318</v>
      </c>
      <c r="D1253">
        <v>6399.13</v>
      </c>
    </row>
    <row r="1254" spans="1:4" x14ac:dyDescent="0.25">
      <c r="A1254" t="s">
        <v>369</v>
      </c>
      <c r="B1254" t="s">
        <v>27</v>
      </c>
      <c r="C1254" s="2">
        <f>HYPERLINK("https://svao.dolgi.msk.ru/account/1760028369/", 1760028369)</f>
        <v>1760028369</v>
      </c>
      <c r="D1254">
        <v>8482.93</v>
      </c>
    </row>
    <row r="1255" spans="1:4" x14ac:dyDescent="0.25">
      <c r="A1255" t="s">
        <v>369</v>
      </c>
      <c r="B1255" t="s">
        <v>243</v>
      </c>
      <c r="C1255" s="2">
        <f>HYPERLINK("https://svao.dolgi.msk.ru/account/1760028393/", 1760028393)</f>
        <v>1760028393</v>
      </c>
      <c r="D1255">
        <v>8541.8799999999992</v>
      </c>
    </row>
    <row r="1256" spans="1:4" x14ac:dyDescent="0.25">
      <c r="A1256" t="s">
        <v>369</v>
      </c>
      <c r="B1256" t="s">
        <v>28</v>
      </c>
      <c r="C1256" s="2">
        <f>HYPERLINK("https://svao.dolgi.msk.ru/account/1760028449/", 1760028449)</f>
        <v>1760028449</v>
      </c>
      <c r="D1256">
        <v>31891.68</v>
      </c>
    </row>
    <row r="1257" spans="1:4" x14ac:dyDescent="0.25">
      <c r="A1257" t="s">
        <v>369</v>
      </c>
      <c r="B1257" t="s">
        <v>29</v>
      </c>
      <c r="C1257" s="2">
        <f>HYPERLINK("https://svao.dolgi.msk.ru/account/1760028457/", 1760028457)</f>
        <v>1760028457</v>
      </c>
      <c r="D1257">
        <v>3750.33</v>
      </c>
    </row>
    <row r="1258" spans="1:4" x14ac:dyDescent="0.25">
      <c r="A1258" t="s">
        <v>369</v>
      </c>
      <c r="B1258" t="s">
        <v>97</v>
      </c>
      <c r="C1258" s="2">
        <f>HYPERLINK("https://svao.dolgi.msk.ru/account/1760028502/", 1760028502)</f>
        <v>1760028502</v>
      </c>
      <c r="D1258">
        <v>6532.83</v>
      </c>
    </row>
    <row r="1259" spans="1:4" x14ac:dyDescent="0.25">
      <c r="A1259" t="s">
        <v>369</v>
      </c>
      <c r="B1259" t="s">
        <v>84</v>
      </c>
      <c r="C1259" s="2">
        <f>HYPERLINK("https://svao.dolgi.msk.ru/account/1760028529/", 1760028529)</f>
        <v>1760028529</v>
      </c>
      <c r="D1259">
        <v>4612.01</v>
      </c>
    </row>
    <row r="1260" spans="1:4" x14ac:dyDescent="0.25">
      <c r="A1260" t="s">
        <v>369</v>
      </c>
      <c r="B1260" t="s">
        <v>31</v>
      </c>
      <c r="C1260" s="2">
        <f>HYPERLINK("https://svao.dolgi.msk.ru/account/1760028537/", 1760028537)</f>
        <v>1760028537</v>
      </c>
      <c r="D1260">
        <v>8345.69</v>
      </c>
    </row>
    <row r="1261" spans="1:4" x14ac:dyDescent="0.25">
      <c r="A1261" t="s">
        <v>369</v>
      </c>
      <c r="B1261" t="s">
        <v>245</v>
      </c>
      <c r="C1261" s="2">
        <f>HYPERLINK("https://svao.dolgi.msk.ru/account/1760028561/", 1760028561)</f>
        <v>1760028561</v>
      </c>
      <c r="D1261">
        <v>8715.42</v>
      </c>
    </row>
    <row r="1262" spans="1:4" x14ac:dyDescent="0.25">
      <c r="A1262" t="s">
        <v>369</v>
      </c>
      <c r="B1262" t="s">
        <v>32</v>
      </c>
      <c r="C1262" s="2">
        <f>HYPERLINK("https://svao.dolgi.msk.ru/account/1760028588/", 1760028588)</f>
        <v>1760028588</v>
      </c>
      <c r="D1262">
        <v>3826.42</v>
      </c>
    </row>
    <row r="1263" spans="1:4" x14ac:dyDescent="0.25">
      <c r="A1263" t="s">
        <v>369</v>
      </c>
      <c r="B1263" t="s">
        <v>35</v>
      </c>
      <c r="C1263" s="2">
        <f>HYPERLINK("https://svao.dolgi.msk.ru/account/1760028625/", 1760028625)</f>
        <v>1760028625</v>
      </c>
      <c r="D1263">
        <v>7205.78</v>
      </c>
    </row>
    <row r="1264" spans="1:4" x14ac:dyDescent="0.25">
      <c r="A1264" t="s">
        <v>369</v>
      </c>
      <c r="B1264" t="s">
        <v>99</v>
      </c>
      <c r="C1264" s="2">
        <f>HYPERLINK("https://svao.dolgi.msk.ru/account/1760028633/", 1760028633)</f>
        <v>1760028633</v>
      </c>
      <c r="D1264">
        <v>7206.47</v>
      </c>
    </row>
    <row r="1265" spans="1:4" x14ac:dyDescent="0.25">
      <c r="A1265" t="s">
        <v>369</v>
      </c>
      <c r="B1265" t="s">
        <v>37</v>
      </c>
      <c r="C1265" s="2">
        <f>HYPERLINK("https://svao.dolgi.msk.ru/account/1760028764/", 1760028764)</f>
        <v>1760028764</v>
      </c>
      <c r="D1265">
        <v>19737.560000000001</v>
      </c>
    </row>
    <row r="1266" spans="1:4" x14ac:dyDescent="0.25">
      <c r="A1266" t="s">
        <v>369</v>
      </c>
      <c r="B1266" t="s">
        <v>38</v>
      </c>
      <c r="C1266" s="2">
        <f>HYPERLINK("https://svao.dolgi.msk.ru/account/1760028772/", 1760028772)</f>
        <v>1760028772</v>
      </c>
      <c r="D1266">
        <v>6506.35</v>
      </c>
    </row>
    <row r="1267" spans="1:4" x14ac:dyDescent="0.25">
      <c r="A1267" t="s">
        <v>369</v>
      </c>
      <c r="B1267" t="s">
        <v>140</v>
      </c>
      <c r="C1267" s="2">
        <f>HYPERLINK("https://svao.dolgi.msk.ru/account/1760028836/", 1760028836)</f>
        <v>1760028836</v>
      </c>
      <c r="D1267">
        <v>502.34</v>
      </c>
    </row>
    <row r="1268" spans="1:4" x14ac:dyDescent="0.25">
      <c r="A1268" t="s">
        <v>369</v>
      </c>
      <c r="B1268" t="s">
        <v>247</v>
      </c>
      <c r="C1268" s="2">
        <f>HYPERLINK("https://svao.dolgi.msk.ru/account/1760028895/", 1760028895)</f>
        <v>1760028895</v>
      </c>
      <c r="D1268">
        <v>14214.79</v>
      </c>
    </row>
    <row r="1269" spans="1:4" x14ac:dyDescent="0.25">
      <c r="A1269" t="s">
        <v>369</v>
      </c>
      <c r="B1269" t="s">
        <v>305</v>
      </c>
      <c r="C1269" s="2">
        <f>HYPERLINK("https://svao.dolgi.msk.ru/account/1760028916/", 1760028916)</f>
        <v>1760028916</v>
      </c>
      <c r="D1269">
        <v>5210.3900000000003</v>
      </c>
    </row>
    <row r="1270" spans="1:4" x14ac:dyDescent="0.25">
      <c r="A1270" t="s">
        <v>369</v>
      </c>
      <c r="B1270" t="s">
        <v>144</v>
      </c>
      <c r="C1270" s="2">
        <f>HYPERLINK("https://svao.dolgi.msk.ru/account/1760028959/", 1760028959)</f>
        <v>1760028959</v>
      </c>
      <c r="D1270">
        <v>7158.18</v>
      </c>
    </row>
    <row r="1271" spans="1:4" x14ac:dyDescent="0.25">
      <c r="A1271" t="s">
        <v>369</v>
      </c>
      <c r="B1271" t="s">
        <v>315</v>
      </c>
      <c r="C1271" s="2">
        <f>HYPERLINK("https://svao.dolgi.msk.ru/account/1760028983/", 1760028983)</f>
        <v>1760028983</v>
      </c>
      <c r="D1271">
        <v>1146.8499999999999</v>
      </c>
    </row>
    <row r="1272" spans="1:4" x14ac:dyDescent="0.25">
      <c r="A1272" t="s">
        <v>369</v>
      </c>
      <c r="B1272" t="s">
        <v>301</v>
      </c>
      <c r="C1272" s="2">
        <f>HYPERLINK("https://svao.dolgi.msk.ru/account/1760028991/", 1760028991)</f>
        <v>1760028991</v>
      </c>
      <c r="D1272">
        <v>118.72</v>
      </c>
    </row>
    <row r="1273" spans="1:4" x14ac:dyDescent="0.25">
      <c r="A1273" t="s">
        <v>369</v>
      </c>
      <c r="B1273" t="s">
        <v>250</v>
      </c>
      <c r="C1273" s="2">
        <f>HYPERLINK("https://svao.dolgi.msk.ru/account/1760029089/", 1760029089)</f>
        <v>1760029089</v>
      </c>
      <c r="D1273">
        <v>8378.49</v>
      </c>
    </row>
    <row r="1274" spans="1:4" x14ac:dyDescent="0.25">
      <c r="A1274" t="s">
        <v>369</v>
      </c>
      <c r="B1274" t="s">
        <v>48</v>
      </c>
      <c r="C1274" s="2">
        <f>HYPERLINK("https://svao.dolgi.msk.ru/account/1760029126/", 1760029126)</f>
        <v>1760029126</v>
      </c>
      <c r="D1274">
        <v>31354</v>
      </c>
    </row>
    <row r="1275" spans="1:4" x14ac:dyDescent="0.25">
      <c r="A1275" t="s">
        <v>369</v>
      </c>
      <c r="B1275" t="s">
        <v>147</v>
      </c>
      <c r="C1275" s="2">
        <f>HYPERLINK("https://svao.dolgi.msk.ru/account/1760029185/", 1760029185)</f>
        <v>1760029185</v>
      </c>
      <c r="D1275">
        <v>2590.37</v>
      </c>
    </row>
    <row r="1276" spans="1:4" x14ac:dyDescent="0.25">
      <c r="A1276" t="s">
        <v>369</v>
      </c>
      <c r="B1276" t="s">
        <v>147</v>
      </c>
      <c r="C1276" s="2">
        <f>HYPERLINK("https://svao.dolgi.msk.ru/account/1761795615/", 1761795615)</f>
        <v>1761795615</v>
      </c>
      <c r="D1276">
        <v>6546.5</v>
      </c>
    </row>
    <row r="1277" spans="1:4" x14ac:dyDescent="0.25">
      <c r="A1277" t="s">
        <v>369</v>
      </c>
      <c r="B1277" t="s">
        <v>306</v>
      </c>
      <c r="C1277" s="2">
        <f>HYPERLINK("https://svao.dolgi.msk.ru/account/1760029214/", 1760029214)</f>
        <v>1760029214</v>
      </c>
      <c r="D1277">
        <v>9406.0400000000009</v>
      </c>
    </row>
    <row r="1278" spans="1:4" x14ac:dyDescent="0.25">
      <c r="A1278" t="s">
        <v>369</v>
      </c>
      <c r="B1278" t="s">
        <v>50</v>
      </c>
      <c r="C1278" s="2">
        <f>HYPERLINK("https://svao.dolgi.msk.ru/account/1760029222/", 1760029222)</f>
        <v>1760029222</v>
      </c>
      <c r="D1278">
        <v>6236.21</v>
      </c>
    </row>
    <row r="1279" spans="1:4" x14ac:dyDescent="0.25">
      <c r="A1279" t="s">
        <v>369</v>
      </c>
      <c r="B1279" t="s">
        <v>334</v>
      </c>
      <c r="C1279" s="2">
        <f>HYPERLINK("https://svao.dolgi.msk.ru/account/1760029257/", 1760029257)</f>
        <v>1760029257</v>
      </c>
      <c r="D1279">
        <v>8087.8</v>
      </c>
    </row>
    <row r="1280" spans="1:4" x14ac:dyDescent="0.25">
      <c r="A1280" t="s">
        <v>369</v>
      </c>
      <c r="B1280" t="s">
        <v>331</v>
      </c>
      <c r="C1280" s="2">
        <f>HYPERLINK("https://svao.dolgi.msk.ru/account/1760029265/", 1760029265)</f>
        <v>1760029265</v>
      </c>
      <c r="D1280">
        <v>4607.3500000000004</v>
      </c>
    </row>
    <row r="1281" spans="1:4" x14ac:dyDescent="0.25">
      <c r="A1281" t="s">
        <v>369</v>
      </c>
      <c r="B1281" t="s">
        <v>52</v>
      </c>
      <c r="C1281" s="2">
        <f>HYPERLINK("https://svao.dolgi.msk.ru/account/1760029273/", 1760029273)</f>
        <v>1760029273</v>
      </c>
      <c r="D1281">
        <v>228914.36</v>
      </c>
    </row>
    <row r="1282" spans="1:4" x14ac:dyDescent="0.25">
      <c r="A1282" t="s">
        <v>369</v>
      </c>
      <c r="B1282" t="s">
        <v>307</v>
      </c>
      <c r="C1282" s="2">
        <f>HYPERLINK("https://svao.dolgi.msk.ru/account/1760029345/", 1760029345)</f>
        <v>1760029345</v>
      </c>
      <c r="D1282">
        <v>16462.07</v>
      </c>
    </row>
    <row r="1283" spans="1:4" x14ac:dyDescent="0.25">
      <c r="A1283" t="s">
        <v>369</v>
      </c>
      <c r="B1283" t="s">
        <v>152</v>
      </c>
      <c r="C1283" s="2">
        <f>HYPERLINK("https://svao.dolgi.msk.ru/account/1760029396/", 1760029396)</f>
        <v>1760029396</v>
      </c>
      <c r="D1283">
        <v>22720.55</v>
      </c>
    </row>
    <row r="1284" spans="1:4" x14ac:dyDescent="0.25">
      <c r="A1284" t="s">
        <v>369</v>
      </c>
      <c r="B1284" t="s">
        <v>308</v>
      </c>
      <c r="C1284" s="2">
        <f>HYPERLINK("https://svao.dolgi.msk.ru/account/1760029468/", 1760029468)</f>
        <v>1760029468</v>
      </c>
      <c r="D1284">
        <v>30212.74</v>
      </c>
    </row>
    <row r="1285" spans="1:4" x14ac:dyDescent="0.25">
      <c r="A1285" t="s">
        <v>369</v>
      </c>
      <c r="B1285" t="s">
        <v>254</v>
      </c>
      <c r="C1285" s="2">
        <f>HYPERLINK("https://svao.dolgi.msk.ru/account/1760029484/", 1760029484)</f>
        <v>1760029484</v>
      </c>
      <c r="D1285">
        <v>129.97</v>
      </c>
    </row>
    <row r="1286" spans="1:4" x14ac:dyDescent="0.25">
      <c r="A1286" t="s">
        <v>369</v>
      </c>
      <c r="B1286" t="s">
        <v>255</v>
      </c>
      <c r="C1286" s="2">
        <f>HYPERLINK("https://svao.dolgi.msk.ru/account/1760029505/", 1760029505)</f>
        <v>1760029505</v>
      </c>
      <c r="D1286">
        <v>1375.44</v>
      </c>
    </row>
    <row r="1287" spans="1:4" x14ac:dyDescent="0.25">
      <c r="A1287" t="s">
        <v>369</v>
      </c>
      <c r="B1287" t="s">
        <v>255</v>
      </c>
      <c r="C1287" s="2">
        <f>HYPERLINK("https://svao.dolgi.msk.ru/account/1760029521/", 1760029521)</f>
        <v>1760029521</v>
      </c>
      <c r="D1287">
        <v>882.76</v>
      </c>
    </row>
    <row r="1288" spans="1:4" x14ac:dyDescent="0.25">
      <c r="A1288" t="s">
        <v>369</v>
      </c>
      <c r="B1288" t="s">
        <v>297</v>
      </c>
      <c r="C1288" s="2">
        <f>HYPERLINK("https://svao.dolgi.msk.ru/account/1760029556/", 1760029556)</f>
        <v>1760029556</v>
      </c>
      <c r="D1288">
        <v>4772.5</v>
      </c>
    </row>
    <row r="1289" spans="1:4" x14ac:dyDescent="0.25">
      <c r="A1289" t="s">
        <v>369</v>
      </c>
      <c r="B1289" t="s">
        <v>298</v>
      </c>
      <c r="C1289" s="2">
        <f>HYPERLINK("https://svao.dolgi.msk.ru/account/1760029564/", 1760029564)</f>
        <v>1760029564</v>
      </c>
      <c r="D1289">
        <v>3858.46</v>
      </c>
    </row>
    <row r="1290" spans="1:4" x14ac:dyDescent="0.25">
      <c r="A1290" t="s">
        <v>369</v>
      </c>
      <c r="B1290" t="s">
        <v>56</v>
      </c>
      <c r="C1290" s="2">
        <f>HYPERLINK("https://svao.dolgi.msk.ru/account/1760029628/", 1760029628)</f>
        <v>1760029628</v>
      </c>
      <c r="D1290">
        <v>5627.39</v>
      </c>
    </row>
    <row r="1291" spans="1:4" x14ac:dyDescent="0.25">
      <c r="A1291" t="s">
        <v>369</v>
      </c>
      <c r="B1291" t="s">
        <v>156</v>
      </c>
      <c r="C1291" s="2">
        <f>HYPERLINK("https://svao.dolgi.msk.ru/account/1760029695/", 1760029695)</f>
        <v>1760029695</v>
      </c>
      <c r="D1291">
        <v>8297.35</v>
      </c>
    </row>
    <row r="1292" spans="1:4" x14ac:dyDescent="0.25">
      <c r="A1292" t="s">
        <v>370</v>
      </c>
      <c r="B1292" t="s">
        <v>6</v>
      </c>
      <c r="C1292" s="2">
        <f>HYPERLINK("https://svao.dolgi.msk.ru/account/1760003751/", 1760003751)</f>
        <v>1760003751</v>
      </c>
      <c r="D1292">
        <v>17797.93</v>
      </c>
    </row>
    <row r="1293" spans="1:4" x14ac:dyDescent="0.25">
      <c r="A1293" t="s">
        <v>370</v>
      </c>
      <c r="B1293" t="s">
        <v>7</v>
      </c>
      <c r="C1293" s="2">
        <f>HYPERLINK("https://svao.dolgi.msk.ru/account/1760003794/", 1760003794)</f>
        <v>1760003794</v>
      </c>
      <c r="D1293">
        <v>3562.28</v>
      </c>
    </row>
    <row r="1294" spans="1:4" x14ac:dyDescent="0.25">
      <c r="A1294" t="s">
        <v>370</v>
      </c>
      <c r="B1294" t="s">
        <v>101</v>
      </c>
      <c r="C1294" s="2">
        <f>HYPERLINK("https://svao.dolgi.msk.ru/account/1760003807/", 1760003807)</f>
        <v>1760003807</v>
      </c>
      <c r="D1294">
        <v>9537.1299999999992</v>
      </c>
    </row>
    <row r="1295" spans="1:4" x14ac:dyDescent="0.25">
      <c r="A1295" t="s">
        <v>370</v>
      </c>
      <c r="B1295" t="s">
        <v>102</v>
      </c>
      <c r="C1295" s="2">
        <f>HYPERLINK("https://svao.dolgi.msk.ru/account/1760003823/", 1760003823)</f>
        <v>1760003823</v>
      </c>
      <c r="D1295">
        <v>14347.28</v>
      </c>
    </row>
    <row r="1296" spans="1:4" x14ac:dyDescent="0.25">
      <c r="A1296" t="s">
        <v>370</v>
      </c>
      <c r="B1296" t="s">
        <v>103</v>
      </c>
      <c r="C1296" s="2">
        <f>HYPERLINK("https://svao.dolgi.msk.ru/account/1761790435/", 1761790435)</f>
        <v>1761790435</v>
      </c>
      <c r="D1296">
        <v>7014.41</v>
      </c>
    </row>
    <row r="1297" spans="1:4" x14ac:dyDescent="0.25">
      <c r="A1297" t="s">
        <v>370</v>
      </c>
      <c r="B1297" t="s">
        <v>73</v>
      </c>
      <c r="C1297" s="2">
        <f>HYPERLINK("https://svao.dolgi.msk.ru/account/1760003866/", 1760003866)</f>
        <v>1760003866</v>
      </c>
      <c r="D1297">
        <v>4984.05</v>
      </c>
    </row>
    <row r="1298" spans="1:4" x14ac:dyDescent="0.25">
      <c r="A1298" t="s">
        <v>370</v>
      </c>
      <c r="B1298" t="s">
        <v>104</v>
      </c>
      <c r="C1298" s="2">
        <f>HYPERLINK("https://svao.dolgi.msk.ru/account/1760003874/", 1760003874)</f>
        <v>1760003874</v>
      </c>
      <c r="D1298">
        <v>2454</v>
      </c>
    </row>
    <row r="1299" spans="1:4" x14ac:dyDescent="0.25">
      <c r="A1299" t="s">
        <v>370</v>
      </c>
      <c r="B1299" t="s">
        <v>9</v>
      </c>
      <c r="C1299" s="2">
        <f>HYPERLINK("https://svao.dolgi.msk.ru/account/1760003938/", 1760003938)</f>
        <v>1760003938</v>
      </c>
      <c r="D1299">
        <v>358.8</v>
      </c>
    </row>
    <row r="1300" spans="1:4" x14ac:dyDescent="0.25">
      <c r="A1300" t="s">
        <v>370</v>
      </c>
      <c r="B1300" t="s">
        <v>10</v>
      </c>
      <c r="C1300" s="2">
        <f>HYPERLINK("https://svao.dolgi.msk.ru/account/1760003962/", 1760003962)</f>
        <v>1760003962</v>
      </c>
      <c r="D1300">
        <v>453</v>
      </c>
    </row>
    <row r="1301" spans="1:4" x14ac:dyDescent="0.25">
      <c r="A1301" t="s">
        <v>370</v>
      </c>
      <c r="B1301" t="s">
        <v>13</v>
      </c>
      <c r="C1301" s="2">
        <f>HYPERLINK("https://svao.dolgi.msk.ru/account/1760004017/", 1760004017)</f>
        <v>1760004017</v>
      </c>
      <c r="D1301">
        <v>1035</v>
      </c>
    </row>
    <row r="1302" spans="1:4" x14ac:dyDescent="0.25">
      <c r="A1302" t="s">
        <v>370</v>
      </c>
      <c r="B1302" t="s">
        <v>19</v>
      </c>
      <c r="C1302" s="2">
        <f>HYPERLINK("https://svao.dolgi.msk.ru/account/1760004105/", 1760004105)</f>
        <v>1760004105</v>
      </c>
      <c r="D1302">
        <v>8205.24</v>
      </c>
    </row>
    <row r="1303" spans="1:4" x14ac:dyDescent="0.25">
      <c r="A1303" t="s">
        <v>370</v>
      </c>
      <c r="B1303" t="s">
        <v>110</v>
      </c>
      <c r="C1303" s="2">
        <f>HYPERLINK("https://svao.dolgi.msk.ru/account/1760004121/", 1760004121)</f>
        <v>1760004121</v>
      </c>
      <c r="D1303">
        <v>6249.12</v>
      </c>
    </row>
    <row r="1304" spans="1:4" x14ac:dyDescent="0.25">
      <c r="A1304" t="s">
        <v>370</v>
      </c>
      <c r="B1304" t="s">
        <v>20</v>
      </c>
      <c r="C1304" s="2">
        <f>HYPERLINK("https://svao.dolgi.msk.ru/account/1760004148/", 1760004148)</f>
        <v>1760004148</v>
      </c>
      <c r="D1304">
        <v>5722.67</v>
      </c>
    </row>
    <row r="1305" spans="1:4" x14ac:dyDescent="0.25">
      <c r="A1305" t="s">
        <v>370</v>
      </c>
      <c r="B1305" t="s">
        <v>93</v>
      </c>
      <c r="C1305" s="2">
        <f>HYPERLINK("https://svao.dolgi.msk.ru/account/1760004172/", 1760004172)</f>
        <v>1760004172</v>
      </c>
      <c r="D1305">
        <v>39152.83</v>
      </c>
    </row>
    <row r="1306" spans="1:4" x14ac:dyDescent="0.25">
      <c r="A1306" t="s">
        <v>370</v>
      </c>
      <c r="B1306" t="s">
        <v>113</v>
      </c>
      <c r="C1306" s="2">
        <f>HYPERLINK("https://svao.dolgi.msk.ru/account/1760004236/", 1760004236)</f>
        <v>1760004236</v>
      </c>
      <c r="D1306">
        <v>280.26</v>
      </c>
    </row>
    <row r="1307" spans="1:4" x14ac:dyDescent="0.25">
      <c r="A1307" t="s">
        <v>370</v>
      </c>
      <c r="B1307" t="s">
        <v>114</v>
      </c>
      <c r="C1307" s="2">
        <f>HYPERLINK("https://svao.dolgi.msk.ru/account/1760004279/", 1760004279)</f>
        <v>1760004279</v>
      </c>
      <c r="D1307">
        <v>12888.38</v>
      </c>
    </row>
    <row r="1308" spans="1:4" x14ac:dyDescent="0.25">
      <c r="A1308" t="s">
        <v>370</v>
      </c>
      <c r="B1308" t="s">
        <v>79</v>
      </c>
      <c r="C1308" s="2">
        <f>HYPERLINK("https://svao.dolgi.msk.ru/account/1760004308/", 1760004308)</f>
        <v>1760004308</v>
      </c>
      <c r="D1308">
        <v>2497.35</v>
      </c>
    </row>
    <row r="1309" spans="1:4" x14ac:dyDescent="0.25">
      <c r="A1309" t="s">
        <v>370</v>
      </c>
      <c r="B1309" t="s">
        <v>23</v>
      </c>
      <c r="C1309" s="2">
        <f>HYPERLINK("https://svao.dolgi.msk.ru/account/1760004316/", 1760004316)</f>
        <v>1760004316</v>
      </c>
      <c r="D1309">
        <v>3987.75</v>
      </c>
    </row>
    <row r="1310" spans="1:4" x14ac:dyDescent="0.25">
      <c r="A1310" t="s">
        <v>370</v>
      </c>
      <c r="B1310" t="s">
        <v>117</v>
      </c>
      <c r="C1310" s="2">
        <f>HYPERLINK("https://svao.dolgi.msk.ru/account/1760004332/", 1760004332)</f>
        <v>1760004332</v>
      </c>
      <c r="D1310">
        <v>3782.03</v>
      </c>
    </row>
    <row r="1311" spans="1:4" x14ac:dyDescent="0.25">
      <c r="A1311" t="s">
        <v>370</v>
      </c>
      <c r="B1311" t="s">
        <v>95</v>
      </c>
      <c r="C1311" s="2">
        <f>HYPERLINK("https://svao.dolgi.msk.ru/account/1760004404/", 1760004404)</f>
        <v>1760004404</v>
      </c>
      <c r="D1311">
        <v>4048.7</v>
      </c>
    </row>
    <row r="1312" spans="1:4" x14ac:dyDescent="0.25">
      <c r="A1312" t="s">
        <v>370</v>
      </c>
      <c r="B1312" t="s">
        <v>131</v>
      </c>
      <c r="C1312" s="2">
        <f>HYPERLINK("https://svao.dolgi.msk.ru/account/1760004412/", 1760004412)</f>
        <v>1760004412</v>
      </c>
      <c r="D1312">
        <v>553.84</v>
      </c>
    </row>
    <row r="1313" spans="1:4" x14ac:dyDescent="0.25">
      <c r="A1313" t="s">
        <v>371</v>
      </c>
      <c r="B1313" t="s">
        <v>141</v>
      </c>
      <c r="C1313" s="2">
        <f>HYPERLINK("https://svao.dolgi.msk.ru/account/1760006012/", 1760006012)</f>
        <v>1760006012</v>
      </c>
      <c r="D1313">
        <v>793804.05</v>
      </c>
    </row>
    <row r="1314" spans="1:4" x14ac:dyDescent="0.25">
      <c r="A1314" t="s">
        <v>371</v>
      </c>
      <c r="B1314" t="s">
        <v>102</v>
      </c>
      <c r="C1314" s="2">
        <f>HYPERLINK("https://svao.dolgi.msk.ru/account/1760006039/", 1760006039)</f>
        <v>1760006039</v>
      </c>
      <c r="D1314">
        <v>2608.71</v>
      </c>
    </row>
    <row r="1315" spans="1:4" x14ac:dyDescent="0.25">
      <c r="A1315" t="s">
        <v>371</v>
      </c>
      <c r="B1315" t="s">
        <v>103</v>
      </c>
      <c r="C1315" s="2">
        <f>HYPERLINK("https://svao.dolgi.msk.ru/account/1760006047/", 1760006047)</f>
        <v>1760006047</v>
      </c>
      <c r="D1315">
        <v>2948.56</v>
      </c>
    </row>
    <row r="1316" spans="1:4" x14ac:dyDescent="0.25">
      <c r="A1316" t="s">
        <v>371</v>
      </c>
      <c r="B1316" t="s">
        <v>104</v>
      </c>
      <c r="C1316" s="2">
        <f>HYPERLINK("https://svao.dolgi.msk.ru/account/1760006063/", 1760006063)</f>
        <v>1760006063</v>
      </c>
      <c r="D1316">
        <v>126054.35</v>
      </c>
    </row>
    <row r="1317" spans="1:4" x14ac:dyDescent="0.25">
      <c r="A1317" t="s">
        <v>371</v>
      </c>
      <c r="B1317" t="s">
        <v>8</v>
      </c>
      <c r="C1317" s="2">
        <f>HYPERLINK("https://svao.dolgi.msk.ru/account/1760006071/", 1760006071)</f>
        <v>1760006071</v>
      </c>
      <c r="D1317">
        <v>3180.52</v>
      </c>
    </row>
    <row r="1318" spans="1:4" x14ac:dyDescent="0.25">
      <c r="A1318" t="s">
        <v>371</v>
      </c>
      <c r="B1318" t="s">
        <v>9</v>
      </c>
      <c r="C1318" s="2">
        <f>HYPERLINK("https://svao.dolgi.msk.ru/account/1760006127/", 1760006127)</f>
        <v>1760006127</v>
      </c>
      <c r="D1318">
        <v>10877.1</v>
      </c>
    </row>
    <row r="1319" spans="1:4" x14ac:dyDescent="0.25">
      <c r="A1319" t="s">
        <v>371</v>
      </c>
      <c r="B1319" t="s">
        <v>75</v>
      </c>
      <c r="C1319" s="2">
        <f>HYPERLINK("https://svao.dolgi.msk.ru/account/1760006135/", 1760006135)</f>
        <v>1760006135</v>
      </c>
      <c r="D1319">
        <v>1427.93</v>
      </c>
    </row>
    <row r="1320" spans="1:4" x14ac:dyDescent="0.25">
      <c r="A1320" t="s">
        <v>371</v>
      </c>
      <c r="B1320" t="s">
        <v>10</v>
      </c>
      <c r="C1320" s="2">
        <f>HYPERLINK("https://svao.dolgi.msk.ru/account/1760006151/", 1760006151)</f>
        <v>1760006151</v>
      </c>
      <c r="D1320">
        <v>3609.55</v>
      </c>
    </row>
    <row r="1321" spans="1:4" x14ac:dyDescent="0.25">
      <c r="A1321" t="s">
        <v>371</v>
      </c>
      <c r="B1321" t="s">
        <v>13</v>
      </c>
      <c r="C1321" s="2">
        <f>HYPERLINK("https://svao.dolgi.msk.ru/account/1760006207/", 1760006207)</f>
        <v>1760006207</v>
      </c>
      <c r="D1321">
        <v>70707.22</v>
      </c>
    </row>
    <row r="1322" spans="1:4" x14ac:dyDescent="0.25">
      <c r="A1322" t="s">
        <v>371</v>
      </c>
      <c r="B1322" t="s">
        <v>16</v>
      </c>
      <c r="C1322" s="2">
        <f>HYPERLINK("https://svao.dolgi.msk.ru/account/1760006274/", 1760006274)</f>
        <v>1760006274</v>
      </c>
      <c r="D1322">
        <v>5491</v>
      </c>
    </row>
    <row r="1323" spans="1:4" x14ac:dyDescent="0.25">
      <c r="A1323" t="s">
        <v>371</v>
      </c>
      <c r="B1323" t="s">
        <v>17</v>
      </c>
      <c r="C1323" s="2">
        <f>HYPERLINK("https://svao.dolgi.msk.ru/account/1760006282/", 1760006282)</f>
        <v>1760006282</v>
      </c>
      <c r="D1323">
        <v>6653.13</v>
      </c>
    </row>
    <row r="1324" spans="1:4" x14ac:dyDescent="0.25">
      <c r="A1324" t="s">
        <v>371</v>
      </c>
      <c r="B1324" t="s">
        <v>92</v>
      </c>
      <c r="C1324" s="2">
        <f>HYPERLINK("https://svao.dolgi.msk.ru/account/1760006389/", 1760006389)</f>
        <v>1760006389</v>
      </c>
      <c r="D1324">
        <v>3787.08</v>
      </c>
    </row>
    <row r="1325" spans="1:4" x14ac:dyDescent="0.25">
      <c r="A1325" t="s">
        <v>371</v>
      </c>
      <c r="B1325" t="s">
        <v>94</v>
      </c>
      <c r="C1325" s="2">
        <f>HYPERLINK("https://svao.dolgi.msk.ru/account/1760006426/", 1760006426)</f>
        <v>1760006426</v>
      </c>
      <c r="D1325">
        <v>4141.57</v>
      </c>
    </row>
    <row r="1326" spans="1:4" x14ac:dyDescent="0.25">
      <c r="A1326" t="s">
        <v>371</v>
      </c>
      <c r="B1326" t="s">
        <v>77</v>
      </c>
      <c r="C1326" s="2">
        <f>HYPERLINK("https://svao.dolgi.msk.ru/account/1760006477/", 1760006477)</f>
        <v>1760006477</v>
      </c>
      <c r="D1326">
        <v>5764.39</v>
      </c>
    </row>
    <row r="1327" spans="1:4" x14ac:dyDescent="0.25">
      <c r="A1327" t="s">
        <v>371</v>
      </c>
      <c r="B1327" t="s">
        <v>114</v>
      </c>
      <c r="C1327" s="2">
        <f>HYPERLINK("https://svao.dolgi.msk.ru/account/1760006485/", 1760006485)</f>
        <v>1760006485</v>
      </c>
      <c r="D1327">
        <v>7664.22</v>
      </c>
    </row>
    <row r="1328" spans="1:4" x14ac:dyDescent="0.25">
      <c r="A1328" t="s">
        <v>371</v>
      </c>
      <c r="B1328" t="s">
        <v>78</v>
      </c>
      <c r="C1328" s="2">
        <f>HYPERLINK("https://svao.dolgi.msk.ru/account/1760006493/", 1760006493)</f>
        <v>1760006493</v>
      </c>
      <c r="D1328">
        <v>263.39</v>
      </c>
    </row>
    <row r="1329" spans="1:4" x14ac:dyDescent="0.25">
      <c r="A1329" t="s">
        <v>371</v>
      </c>
      <c r="B1329" t="s">
        <v>22</v>
      </c>
      <c r="C1329" s="2">
        <f>HYPERLINK("https://svao.dolgi.msk.ru/account/1760006506/", 1760006506)</f>
        <v>1760006506</v>
      </c>
      <c r="D1329">
        <v>14038.34</v>
      </c>
    </row>
    <row r="1330" spans="1:4" x14ac:dyDescent="0.25">
      <c r="A1330" t="s">
        <v>371</v>
      </c>
      <c r="B1330" t="s">
        <v>117</v>
      </c>
      <c r="C1330" s="2">
        <f>HYPERLINK("https://svao.dolgi.msk.ru/account/1760006557/", 1760006557)</f>
        <v>1760006557</v>
      </c>
      <c r="D1330">
        <v>64640.25</v>
      </c>
    </row>
    <row r="1331" spans="1:4" x14ac:dyDescent="0.25">
      <c r="A1331" t="s">
        <v>371</v>
      </c>
      <c r="B1331" t="s">
        <v>126</v>
      </c>
      <c r="C1331" s="2">
        <f>HYPERLINK("https://svao.dolgi.msk.ru/account/1760006661/", 1760006661)</f>
        <v>1760006661</v>
      </c>
      <c r="D1331">
        <v>160344.42000000001</v>
      </c>
    </row>
    <row r="1332" spans="1:4" x14ac:dyDescent="0.25">
      <c r="A1332" t="s">
        <v>371</v>
      </c>
      <c r="B1332" t="s">
        <v>118</v>
      </c>
      <c r="C1332" s="2">
        <f>HYPERLINK("https://svao.dolgi.msk.ru/account/1760006696/", 1760006696)</f>
        <v>1760006696</v>
      </c>
      <c r="D1332">
        <v>32253.87</v>
      </c>
    </row>
    <row r="1333" spans="1:4" x14ac:dyDescent="0.25">
      <c r="A1333" t="s">
        <v>371</v>
      </c>
      <c r="B1333" t="s">
        <v>128</v>
      </c>
      <c r="C1333" s="2">
        <f>HYPERLINK("https://svao.dolgi.msk.ru/account/1760006768/", 1760006768)</f>
        <v>1760006768</v>
      </c>
      <c r="D1333">
        <v>4310.32</v>
      </c>
    </row>
    <row r="1334" spans="1:4" x14ac:dyDescent="0.25">
      <c r="A1334" t="s">
        <v>371</v>
      </c>
      <c r="B1334" t="s">
        <v>83</v>
      </c>
      <c r="C1334" s="2">
        <f>HYPERLINK("https://svao.dolgi.msk.ru/account/1760006784/", 1760006784)</f>
        <v>1760006784</v>
      </c>
      <c r="D1334">
        <v>2011.59</v>
      </c>
    </row>
    <row r="1335" spans="1:4" x14ac:dyDescent="0.25">
      <c r="A1335" t="s">
        <v>372</v>
      </c>
      <c r="B1335" t="s">
        <v>6</v>
      </c>
      <c r="C1335" s="2">
        <f>HYPERLINK("https://svao.dolgi.msk.ru/account/1760016843/", 1760016843)</f>
        <v>1760016843</v>
      </c>
      <c r="D1335">
        <v>13181.78</v>
      </c>
    </row>
    <row r="1336" spans="1:4" x14ac:dyDescent="0.25">
      <c r="A1336" t="s">
        <v>372</v>
      </c>
      <c r="B1336" t="s">
        <v>6</v>
      </c>
      <c r="C1336" s="2">
        <f>HYPERLINK("https://svao.dolgi.msk.ru/account/1760016851/", 1760016851)</f>
        <v>1760016851</v>
      </c>
      <c r="D1336">
        <v>6383.84</v>
      </c>
    </row>
    <row r="1337" spans="1:4" x14ac:dyDescent="0.25">
      <c r="A1337" t="s">
        <v>372</v>
      </c>
      <c r="B1337" t="s">
        <v>41</v>
      </c>
      <c r="C1337" s="2">
        <f>HYPERLINK("https://svao.dolgi.msk.ru/account/1760016886/", 1760016886)</f>
        <v>1760016886</v>
      </c>
      <c r="D1337">
        <v>4071.84</v>
      </c>
    </row>
    <row r="1338" spans="1:4" x14ac:dyDescent="0.25">
      <c r="A1338" t="s">
        <v>372</v>
      </c>
      <c r="B1338" t="s">
        <v>7</v>
      </c>
      <c r="C1338" s="2">
        <f>HYPERLINK("https://svao.dolgi.msk.ru/account/1760016907/", 1760016907)</f>
        <v>1760016907</v>
      </c>
      <c r="D1338">
        <v>2555.23</v>
      </c>
    </row>
    <row r="1339" spans="1:4" x14ac:dyDescent="0.25">
      <c r="A1339" t="s">
        <v>372</v>
      </c>
      <c r="B1339" t="s">
        <v>102</v>
      </c>
      <c r="C1339" s="2">
        <f>HYPERLINK("https://svao.dolgi.msk.ru/account/1760016931/", 1760016931)</f>
        <v>1760016931</v>
      </c>
      <c r="D1339">
        <v>2404.5500000000002</v>
      </c>
    </row>
    <row r="1340" spans="1:4" x14ac:dyDescent="0.25">
      <c r="A1340" t="s">
        <v>372</v>
      </c>
      <c r="B1340" t="s">
        <v>8</v>
      </c>
      <c r="C1340" s="2">
        <f>HYPERLINK("https://svao.dolgi.msk.ru/account/1760016982/", 1760016982)</f>
        <v>1760016982</v>
      </c>
      <c r="D1340">
        <v>4568.16</v>
      </c>
    </row>
    <row r="1341" spans="1:4" x14ac:dyDescent="0.25">
      <c r="A1341" t="s">
        <v>372</v>
      </c>
      <c r="B1341" t="s">
        <v>74</v>
      </c>
      <c r="C1341" s="2">
        <f>HYPERLINK("https://svao.dolgi.msk.ru/account/1760017002/", 1760017002)</f>
        <v>1760017002</v>
      </c>
      <c r="D1341">
        <v>4176.2</v>
      </c>
    </row>
    <row r="1342" spans="1:4" x14ac:dyDescent="0.25">
      <c r="A1342" t="s">
        <v>372</v>
      </c>
      <c r="B1342" t="s">
        <v>137</v>
      </c>
      <c r="C1342" s="2">
        <f>HYPERLINK("https://svao.dolgi.msk.ru/account/1760017029/", 1760017029)</f>
        <v>1760017029</v>
      </c>
      <c r="D1342">
        <v>9908.18</v>
      </c>
    </row>
    <row r="1343" spans="1:4" x14ac:dyDescent="0.25">
      <c r="A1343" t="s">
        <v>372</v>
      </c>
      <c r="B1343" t="s">
        <v>9</v>
      </c>
      <c r="C1343" s="2">
        <f>HYPERLINK("https://svao.dolgi.msk.ru/account/1760017037/", 1760017037)</f>
        <v>1760017037</v>
      </c>
      <c r="D1343">
        <v>84588.43</v>
      </c>
    </row>
    <row r="1344" spans="1:4" x14ac:dyDescent="0.25">
      <c r="A1344" t="s">
        <v>372</v>
      </c>
      <c r="B1344" t="s">
        <v>75</v>
      </c>
      <c r="C1344" s="2">
        <f>HYPERLINK("https://svao.dolgi.msk.ru/account/1760017045/", 1760017045)</f>
        <v>1760017045</v>
      </c>
      <c r="D1344">
        <v>3708.65</v>
      </c>
    </row>
    <row r="1345" spans="1:4" x14ac:dyDescent="0.25">
      <c r="A1345" t="s">
        <v>372</v>
      </c>
      <c r="B1345" t="s">
        <v>10</v>
      </c>
      <c r="C1345" s="2">
        <f>HYPERLINK("https://svao.dolgi.msk.ru/account/1760017088/", 1760017088)</f>
        <v>1760017088</v>
      </c>
      <c r="D1345">
        <v>2375.09</v>
      </c>
    </row>
    <row r="1346" spans="1:4" x14ac:dyDescent="0.25">
      <c r="A1346" t="s">
        <v>372</v>
      </c>
      <c r="B1346" t="s">
        <v>219</v>
      </c>
      <c r="C1346" s="2">
        <f>HYPERLINK("https://svao.dolgi.msk.ru/account/1760017109/", 1760017109)</f>
        <v>1760017109</v>
      </c>
      <c r="D1346">
        <v>3709.68</v>
      </c>
    </row>
    <row r="1347" spans="1:4" x14ac:dyDescent="0.25">
      <c r="A1347" t="s">
        <v>372</v>
      </c>
      <c r="B1347" t="s">
        <v>11</v>
      </c>
      <c r="C1347" s="2">
        <f>HYPERLINK("https://svao.dolgi.msk.ru/account/1760017117/", 1760017117)</f>
        <v>1760017117</v>
      </c>
      <c r="D1347">
        <v>5999.89</v>
      </c>
    </row>
    <row r="1348" spans="1:4" x14ac:dyDescent="0.25">
      <c r="A1348" t="s">
        <v>372</v>
      </c>
      <c r="B1348" t="s">
        <v>13</v>
      </c>
      <c r="C1348" s="2">
        <f>HYPERLINK("https://svao.dolgi.msk.ru/account/1760255465/", 1760255465)</f>
        <v>1760255465</v>
      </c>
      <c r="D1348">
        <v>547.54</v>
      </c>
    </row>
    <row r="1349" spans="1:4" x14ac:dyDescent="0.25">
      <c r="A1349" t="s">
        <v>372</v>
      </c>
      <c r="B1349" t="s">
        <v>13</v>
      </c>
      <c r="C1349" s="2">
        <f>HYPERLINK("https://svao.dolgi.msk.ru/account/1760255473/", 1760255473)</f>
        <v>1760255473</v>
      </c>
      <c r="D1349">
        <v>205.33</v>
      </c>
    </row>
    <row r="1350" spans="1:4" x14ac:dyDescent="0.25">
      <c r="A1350" t="s">
        <v>372</v>
      </c>
      <c r="B1350" t="s">
        <v>107</v>
      </c>
      <c r="C1350" s="2">
        <f>HYPERLINK("https://svao.dolgi.msk.ru/account/1760017192/", 1760017192)</f>
        <v>1760017192</v>
      </c>
      <c r="D1350">
        <v>4329.22</v>
      </c>
    </row>
    <row r="1351" spans="1:4" x14ac:dyDescent="0.25">
      <c r="A1351" t="s">
        <v>372</v>
      </c>
      <c r="B1351" t="s">
        <v>18</v>
      </c>
      <c r="C1351" s="2">
        <f>HYPERLINK("https://svao.dolgi.msk.ru/account/1760017256/", 1760017256)</f>
        <v>1760017256</v>
      </c>
      <c r="D1351">
        <v>5118.34</v>
      </c>
    </row>
    <row r="1352" spans="1:4" x14ac:dyDescent="0.25">
      <c r="A1352" t="s">
        <v>372</v>
      </c>
      <c r="B1352" t="s">
        <v>109</v>
      </c>
      <c r="C1352" s="2">
        <f>HYPERLINK("https://svao.dolgi.msk.ru/account/1760017272/", 1760017272)</f>
        <v>1760017272</v>
      </c>
      <c r="D1352">
        <v>5466.52</v>
      </c>
    </row>
    <row r="1353" spans="1:4" x14ac:dyDescent="0.25">
      <c r="A1353" t="s">
        <v>372</v>
      </c>
      <c r="B1353" t="s">
        <v>111</v>
      </c>
      <c r="C1353" s="2">
        <f>HYPERLINK("https://svao.dolgi.msk.ru/account/1760017352/", 1760017352)</f>
        <v>1760017352</v>
      </c>
      <c r="D1353">
        <v>3948.49</v>
      </c>
    </row>
    <row r="1354" spans="1:4" x14ac:dyDescent="0.25">
      <c r="A1354" t="s">
        <v>372</v>
      </c>
      <c r="B1354" t="s">
        <v>94</v>
      </c>
      <c r="C1354" s="2">
        <f>HYPERLINK("https://svao.dolgi.msk.ru/account/1760017379/", 1760017379)</f>
        <v>1760017379</v>
      </c>
      <c r="D1354">
        <v>4108.74</v>
      </c>
    </row>
    <row r="1355" spans="1:4" x14ac:dyDescent="0.25">
      <c r="A1355" t="s">
        <v>372</v>
      </c>
      <c r="B1355" t="s">
        <v>112</v>
      </c>
      <c r="C1355" s="2">
        <f>HYPERLINK("https://svao.dolgi.msk.ru/account/1760017387/", 1760017387)</f>
        <v>1760017387</v>
      </c>
      <c r="D1355">
        <v>7368.88</v>
      </c>
    </row>
    <row r="1356" spans="1:4" x14ac:dyDescent="0.25">
      <c r="A1356" t="s">
        <v>372</v>
      </c>
      <c r="B1356" t="s">
        <v>23</v>
      </c>
      <c r="C1356" s="2">
        <f>HYPERLINK("https://svao.dolgi.msk.ru/account/1760017432/", 1760017432)</f>
        <v>1760017432</v>
      </c>
      <c r="D1356">
        <v>5679.82</v>
      </c>
    </row>
    <row r="1357" spans="1:4" x14ac:dyDescent="0.25">
      <c r="A1357" t="s">
        <v>372</v>
      </c>
      <c r="B1357" t="s">
        <v>131</v>
      </c>
      <c r="C1357" s="2">
        <f>HYPERLINK("https://svao.dolgi.msk.ru/account/1760017547/", 1760017547)</f>
        <v>1760017547</v>
      </c>
      <c r="D1357">
        <v>4937.3999999999996</v>
      </c>
    </row>
    <row r="1358" spans="1:4" x14ac:dyDescent="0.25">
      <c r="A1358" t="s">
        <v>372</v>
      </c>
      <c r="B1358" t="s">
        <v>126</v>
      </c>
      <c r="C1358" s="2">
        <f>HYPERLINK("https://svao.dolgi.msk.ru/account/1760017563/", 1760017563)</f>
        <v>1760017563</v>
      </c>
      <c r="D1358">
        <v>4459.7299999999996</v>
      </c>
    </row>
    <row r="1359" spans="1:4" x14ac:dyDescent="0.25">
      <c r="A1359" t="s">
        <v>372</v>
      </c>
      <c r="B1359" t="s">
        <v>118</v>
      </c>
      <c r="C1359" s="2">
        <f>HYPERLINK("https://svao.dolgi.msk.ru/account/1760017598/", 1760017598)</f>
        <v>1760017598</v>
      </c>
      <c r="D1359">
        <v>5431.89</v>
      </c>
    </row>
    <row r="1360" spans="1:4" x14ac:dyDescent="0.25">
      <c r="A1360" t="s">
        <v>372</v>
      </c>
      <c r="B1360" t="s">
        <v>83</v>
      </c>
      <c r="C1360" s="2">
        <f>HYPERLINK("https://svao.dolgi.msk.ru/account/1760017643/", 1760017643)</f>
        <v>1760017643</v>
      </c>
      <c r="D1360">
        <v>4714.93</v>
      </c>
    </row>
    <row r="1361" spans="1:4" x14ac:dyDescent="0.25">
      <c r="A1361" t="s">
        <v>372</v>
      </c>
      <c r="B1361" t="s">
        <v>290</v>
      </c>
      <c r="C1361" s="2">
        <f>HYPERLINK("https://svao.dolgi.msk.ru/account/1760017715/", 1760017715)</f>
        <v>1760017715</v>
      </c>
      <c r="D1361">
        <v>3270.15</v>
      </c>
    </row>
    <row r="1362" spans="1:4" x14ac:dyDescent="0.25">
      <c r="A1362" t="s">
        <v>372</v>
      </c>
      <c r="B1362" t="s">
        <v>243</v>
      </c>
      <c r="C1362" s="2">
        <f>HYPERLINK("https://svao.dolgi.msk.ru/account/1760017723/", 1760017723)</f>
        <v>1760017723</v>
      </c>
      <c r="D1362">
        <v>6464.32</v>
      </c>
    </row>
    <row r="1363" spans="1:4" x14ac:dyDescent="0.25">
      <c r="A1363" t="s">
        <v>372</v>
      </c>
      <c r="B1363" t="s">
        <v>139</v>
      </c>
      <c r="C1363" s="2">
        <f>HYPERLINK("https://svao.dolgi.msk.ru/account/1760017766/", 1760017766)</f>
        <v>1760017766</v>
      </c>
      <c r="D1363">
        <v>2382.92</v>
      </c>
    </row>
    <row r="1364" spans="1:4" x14ac:dyDescent="0.25">
      <c r="A1364" t="s">
        <v>372</v>
      </c>
      <c r="B1364" t="s">
        <v>29</v>
      </c>
      <c r="C1364" s="2">
        <f>HYPERLINK("https://svao.dolgi.msk.ru/account/1760017803/", 1760017803)</f>
        <v>1760017803</v>
      </c>
      <c r="D1364">
        <v>2562.7800000000002</v>
      </c>
    </row>
    <row r="1365" spans="1:4" x14ac:dyDescent="0.25">
      <c r="A1365" t="s">
        <v>372</v>
      </c>
      <c r="B1365" t="s">
        <v>97</v>
      </c>
      <c r="C1365" s="2">
        <f>HYPERLINK("https://svao.dolgi.msk.ru/account/1760017854/", 1760017854)</f>
        <v>1760017854</v>
      </c>
      <c r="D1365">
        <v>18068.669999999998</v>
      </c>
    </row>
    <row r="1366" spans="1:4" x14ac:dyDescent="0.25">
      <c r="A1366" t="s">
        <v>373</v>
      </c>
      <c r="B1366" t="s">
        <v>102</v>
      </c>
      <c r="C1366" s="2">
        <f>HYPERLINK("https://svao.dolgi.msk.ru/account/1760018005/", 1760018005)</f>
        <v>1760018005</v>
      </c>
      <c r="D1366">
        <v>5554.62</v>
      </c>
    </row>
    <row r="1367" spans="1:4" x14ac:dyDescent="0.25">
      <c r="A1367" t="s">
        <v>373</v>
      </c>
      <c r="B1367" t="s">
        <v>73</v>
      </c>
      <c r="C1367" s="2">
        <f>HYPERLINK("https://svao.dolgi.msk.ru/account/1760018048/", 1760018048)</f>
        <v>1760018048</v>
      </c>
      <c r="D1367">
        <v>6143.9</v>
      </c>
    </row>
    <row r="1368" spans="1:4" x14ac:dyDescent="0.25">
      <c r="A1368" t="s">
        <v>373</v>
      </c>
      <c r="B1368" t="s">
        <v>9</v>
      </c>
      <c r="C1368" s="2">
        <f>HYPERLINK("https://svao.dolgi.msk.ru/account/1760018128/", 1760018128)</f>
        <v>1760018128</v>
      </c>
      <c r="D1368">
        <v>5419.57</v>
      </c>
    </row>
    <row r="1369" spans="1:4" x14ac:dyDescent="0.25">
      <c r="A1369" t="s">
        <v>373</v>
      </c>
      <c r="B1369" t="s">
        <v>10</v>
      </c>
      <c r="C1369" s="2">
        <f>HYPERLINK("https://svao.dolgi.msk.ru/account/1760018152/", 1760018152)</f>
        <v>1760018152</v>
      </c>
      <c r="D1369">
        <v>3197.57</v>
      </c>
    </row>
    <row r="1370" spans="1:4" x14ac:dyDescent="0.25">
      <c r="A1370" t="s">
        <v>373</v>
      </c>
      <c r="B1370" t="s">
        <v>219</v>
      </c>
      <c r="C1370" s="2">
        <f>HYPERLINK("https://svao.dolgi.msk.ru/account/1760018179/", 1760018179)</f>
        <v>1760018179</v>
      </c>
      <c r="D1370">
        <v>5501.11</v>
      </c>
    </row>
    <row r="1371" spans="1:4" x14ac:dyDescent="0.25">
      <c r="A1371" t="s">
        <v>373</v>
      </c>
      <c r="B1371" t="s">
        <v>15</v>
      </c>
      <c r="C1371" s="2">
        <f>HYPERLINK("https://svao.dolgi.msk.ru/account/1760018259/", 1760018259)</f>
        <v>1760018259</v>
      </c>
      <c r="D1371">
        <v>7102.73</v>
      </c>
    </row>
    <row r="1372" spans="1:4" x14ac:dyDescent="0.25">
      <c r="A1372" t="s">
        <v>373</v>
      </c>
      <c r="B1372" t="s">
        <v>108</v>
      </c>
      <c r="C1372" s="2">
        <f>HYPERLINK("https://svao.dolgi.msk.ru/account/1760018275/", 1760018275)</f>
        <v>1760018275</v>
      </c>
      <c r="D1372">
        <v>2821.67</v>
      </c>
    </row>
    <row r="1373" spans="1:4" x14ac:dyDescent="0.25">
      <c r="A1373" t="s">
        <v>373</v>
      </c>
      <c r="B1373" t="s">
        <v>18</v>
      </c>
      <c r="C1373" s="2">
        <f>HYPERLINK("https://svao.dolgi.msk.ru/account/1760018304/", 1760018304)</f>
        <v>1760018304</v>
      </c>
      <c r="D1373">
        <v>5622.57</v>
      </c>
    </row>
    <row r="1374" spans="1:4" x14ac:dyDescent="0.25">
      <c r="A1374" t="s">
        <v>373</v>
      </c>
      <c r="B1374" t="s">
        <v>110</v>
      </c>
      <c r="C1374" s="2">
        <f>HYPERLINK("https://svao.dolgi.msk.ru/account/1760018347/", 1760018347)</f>
        <v>1760018347</v>
      </c>
      <c r="D1374">
        <v>2231.7600000000002</v>
      </c>
    </row>
    <row r="1375" spans="1:4" x14ac:dyDescent="0.25">
      <c r="A1375" t="s">
        <v>373</v>
      </c>
      <c r="B1375" t="s">
        <v>20</v>
      </c>
      <c r="C1375" s="2">
        <f>HYPERLINK("https://svao.dolgi.msk.ru/account/1760018371/", 1760018371)</f>
        <v>1760018371</v>
      </c>
      <c r="D1375">
        <v>3885.78</v>
      </c>
    </row>
    <row r="1376" spans="1:4" x14ac:dyDescent="0.25">
      <c r="A1376" t="s">
        <v>373</v>
      </c>
      <c r="B1376" t="s">
        <v>92</v>
      </c>
      <c r="C1376" s="2">
        <f>HYPERLINK("https://svao.dolgi.msk.ru/account/1760018419/", 1760018419)</f>
        <v>1760018419</v>
      </c>
      <c r="D1376">
        <v>2938.46</v>
      </c>
    </row>
    <row r="1377" spans="1:4" x14ac:dyDescent="0.25">
      <c r="A1377" t="s">
        <v>373</v>
      </c>
      <c r="B1377" t="s">
        <v>93</v>
      </c>
      <c r="C1377" s="2">
        <f>HYPERLINK("https://svao.dolgi.msk.ru/account/1760018427/", 1760018427)</f>
        <v>1760018427</v>
      </c>
      <c r="D1377">
        <v>8183.56</v>
      </c>
    </row>
    <row r="1378" spans="1:4" x14ac:dyDescent="0.25">
      <c r="A1378" t="s">
        <v>373</v>
      </c>
      <c r="B1378" t="s">
        <v>111</v>
      </c>
      <c r="C1378" s="2">
        <f>HYPERLINK("https://svao.dolgi.msk.ru/account/1760018451/", 1760018451)</f>
        <v>1760018451</v>
      </c>
      <c r="D1378">
        <v>2727.6</v>
      </c>
    </row>
    <row r="1379" spans="1:4" x14ac:dyDescent="0.25">
      <c r="A1379" t="s">
        <v>373</v>
      </c>
      <c r="B1379" t="s">
        <v>78</v>
      </c>
      <c r="C1379" s="2">
        <f>HYPERLINK("https://svao.dolgi.msk.ru/account/1760018531/", 1760018531)</f>
        <v>1760018531</v>
      </c>
      <c r="D1379">
        <v>3276.05</v>
      </c>
    </row>
    <row r="1380" spans="1:4" x14ac:dyDescent="0.25">
      <c r="A1380" t="s">
        <v>373</v>
      </c>
      <c r="B1380" t="s">
        <v>22</v>
      </c>
      <c r="C1380" s="2">
        <f>HYPERLINK("https://svao.dolgi.msk.ru/account/1760018558/", 1760018558)</f>
        <v>1760018558</v>
      </c>
      <c r="D1380">
        <v>6233.73</v>
      </c>
    </row>
    <row r="1381" spans="1:4" x14ac:dyDescent="0.25">
      <c r="A1381" t="s">
        <v>373</v>
      </c>
      <c r="B1381" t="s">
        <v>23</v>
      </c>
      <c r="C1381" s="2">
        <f>HYPERLINK("https://svao.dolgi.msk.ru/account/1760018611/", 1760018611)</f>
        <v>1760018611</v>
      </c>
      <c r="D1381">
        <v>139649.72</v>
      </c>
    </row>
    <row r="1382" spans="1:4" x14ac:dyDescent="0.25">
      <c r="A1382" t="s">
        <v>373</v>
      </c>
      <c r="B1382" t="s">
        <v>320</v>
      </c>
      <c r="C1382" s="2">
        <f>HYPERLINK("https://svao.dolgi.msk.ru/account/1760018662/", 1760018662)</f>
        <v>1760018662</v>
      </c>
      <c r="D1382">
        <v>5333.15</v>
      </c>
    </row>
    <row r="1383" spans="1:4" x14ac:dyDescent="0.25">
      <c r="A1383" t="s">
        <v>373</v>
      </c>
      <c r="B1383" t="s">
        <v>314</v>
      </c>
      <c r="C1383" s="2">
        <f>HYPERLINK("https://svao.dolgi.msk.ru/account/1760018718/", 1760018718)</f>
        <v>1760018718</v>
      </c>
      <c r="D1383">
        <v>2272.96</v>
      </c>
    </row>
    <row r="1384" spans="1:4" x14ac:dyDescent="0.25">
      <c r="A1384" t="s">
        <v>373</v>
      </c>
      <c r="B1384" t="s">
        <v>242</v>
      </c>
      <c r="C1384" s="2">
        <f>HYPERLINK("https://svao.dolgi.msk.ru/account/1760018726/", 1760018726)</f>
        <v>1760018726</v>
      </c>
      <c r="D1384">
        <v>6294.27</v>
      </c>
    </row>
    <row r="1385" spans="1:4" x14ac:dyDescent="0.25">
      <c r="A1385" t="s">
        <v>373</v>
      </c>
      <c r="B1385" t="s">
        <v>131</v>
      </c>
      <c r="C1385" s="2">
        <f>HYPERLINK("https://svao.dolgi.msk.ru/account/1760018742/", 1760018742)</f>
        <v>1760018742</v>
      </c>
      <c r="D1385">
        <v>2312.31</v>
      </c>
    </row>
    <row r="1386" spans="1:4" x14ac:dyDescent="0.25">
      <c r="A1386" t="s">
        <v>373</v>
      </c>
      <c r="B1386" t="s">
        <v>125</v>
      </c>
      <c r="C1386" s="2">
        <f>HYPERLINK("https://svao.dolgi.msk.ru/account/1760018777/", 1760018777)</f>
        <v>1760018777</v>
      </c>
      <c r="D1386">
        <v>4591.6400000000003</v>
      </c>
    </row>
    <row r="1387" spans="1:4" x14ac:dyDescent="0.25">
      <c r="A1387" t="s">
        <v>373</v>
      </c>
      <c r="B1387" t="s">
        <v>118</v>
      </c>
      <c r="C1387" s="2">
        <f>HYPERLINK("https://svao.dolgi.msk.ru/account/1760018814/", 1760018814)</f>
        <v>1760018814</v>
      </c>
      <c r="D1387">
        <v>7833.99</v>
      </c>
    </row>
    <row r="1388" spans="1:4" x14ac:dyDescent="0.25">
      <c r="A1388" t="s">
        <v>374</v>
      </c>
      <c r="B1388" t="s">
        <v>6</v>
      </c>
      <c r="C1388" s="2">
        <f>HYPERLINK("https://svao.dolgi.msk.ru/account/1760018822/", 1760018822)</f>
        <v>1760018822</v>
      </c>
      <c r="D1388">
        <v>450</v>
      </c>
    </row>
    <row r="1389" spans="1:4" x14ac:dyDescent="0.25">
      <c r="A1389" t="s">
        <v>374</v>
      </c>
      <c r="B1389" t="s">
        <v>41</v>
      </c>
      <c r="C1389" s="2">
        <f>HYPERLINK("https://svao.dolgi.msk.ru/account/1760018857/", 1760018857)</f>
        <v>1760018857</v>
      </c>
      <c r="D1389">
        <v>6337.48</v>
      </c>
    </row>
    <row r="1390" spans="1:4" x14ac:dyDescent="0.25">
      <c r="A1390" t="s">
        <v>374</v>
      </c>
      <c r="B1390" t="s">
        <v>101</v>
      </c>
      <c r="C1390" s="2">
        <f>HYPERLINK("https://svao.dolgi.msk.ru/account/1760018881/", 1760018881)</f>
        <v>1760018881</v>
      </c>
      <c r="D1390">
        <v>340.96</v>
      </c>
    </row>
    <row r="1391" spans="1:4" x14ac:dyDescent="0.25">
      <c r="A1391" t="s">
        <v>374</v>
      </c>
      <c r="B1391" t="s">
        <v>141</v>
      </c>
      <c r="C1391" s="2">
        <f>HYPERLINK("https://svao.dolgi.msk.ru/account/1760018902/", 1760018902)</f>
        <v>1760018902</v>
      </c>
      <c r="D1391">
        <v>18016.61</v>
      </c>
    </row>
    <row r="1392" spans="1:4" x14ac:dyDescent="0.25">
      <c r="A1392" t="s">
        <v>374</v>
      </c>
      <c r="B1392" t="s">
        <v>102</v>
      </c>
      <c r="C1392" s="2">
        <f>HYPERLINK("https://svao.dolgi.msk.ru/account/1760018929/", 1760018929)</f>
        <v>1760018929</v>
      </c>
      <c r="D1392">
        <v>31313.31</v>
      </c>
    </row>
    <row r="1393" spans="1:4" x14ac:dyDescent="0.25">
      <c r="A1393" t="s">
        <v>374</v>
      </c>
      <c r="B1393" t="s">
        <v>103</v>
      </c>
      <c r="C1393" s="2">
        <f>HYPERLINK("https://svao.dolgi.msk.ru/account/1760018937/", 1760018937)</f>
        <v>1760018937</v>
      </c>
      <c r="D1393">
        <v>2113.15</v>
      </c>
    </row>
    <row r="1394" spans="1:4" x14ac:dyDescent="0.25">
      <c r="A1394" t="s">
        <v>374</v>
      </c>
      <c r="B1394" t="s">
        <v>73</v>
      </c>
      <c r="C1394" s="2">
        <f>HYPERLINK("https://svao.dolgi.msk.ru/account/1760018945/", 1760018945)</f>
        <v>1760018945</v>
      </c>
      <c r="D1394">
        <v>3251.71</v>
      </c>
    </row>
    <row r="1395" spans="1:4" x14ac:dyDescent="0.25">
      <c r="A1395" t="s">
        <v>374</v>
      </c>
      <c r="B1395" t="s">
        <v>137</v>
      </c>
      <c r="C1395" s="2">
        <f>HYPERLINK("https://svao.dolgi.msk.ru/account/1760018996/", 1760018996)</f>
        <v>1760018996</v>
      </c>
      <c r="D1395">
        <v>3463.71</v>
      </c>
    </row>
    <row r="1396" spans="1:4" x14ac:dyDescent="0.25">
      <c r="A1396" t="s">
        <v>374</v>
      </c>
      <c r="B1396" t="s">
        <v>9</v>
      </c>
      <c r="C1396" s="2">
        <f>HYPERLINK("https://svao.dolgi.msk.ru/account/1760019008/", 1760019008)</f>
        <v>1760019008</v>
      </c>
      <c r="D1396">
        <v>4504.7</v>
      </c>
    </row>
    <row r="1397" spans="1:4" x14ac:dyDescent="0.25">
      <c r="A1397" t="s">
        <v>374</v>
      </c>
      <c r="B1397" t="s">
        <v>10</v>
      </c>
      <c r="C1397" s="2">
        <f>HYPERLINK("https://svao.dolgi.msk.ru/account/1760019032/", 1760019032)</f>
        <v>1760019032</v>
      </c>
      <c r="D1397">
        <v>8499.2000000000007</v>
      </c>
    </row>
    <row r="1398" spans="1:4" x14ac:dyDescent="0.25">
      <c r="A1398" t="s">
        <v>374</v>
      </c>
      <c r="B1398" t="s">
        <v>219</v>
      </c>
      <c r="C1398" s="2">
        <f>HYPERLINK("https://svao.dolgi.msk.ru/account/1760019059/", 1760019059)</f>
        <v>1760019059</v>
      </c>
      <c r="D1398">
        <v>535.46</v>
      </c>
    </row>
    <row r="1399" spans="1:4" x14ac:dyDescent="0.25">
      <c r="A1399" t="s">
        <v>374</v>
      </c>
      <c r="B1399" t="s">
        <v>11</v>
      </c>
      <c r="C1399" s="2">
        <f>HYPERLINK("https://svao.dolgi.msk.ru/account/1760019067/", 1760019067)</f>
        <v>1760019067</v>
      </c>
      <c r="D1399">
        <v>4410.16</v>
      </c>
    </row>
    <row r="1400" spans="1:4" x14ac:dyDescent="0.25">
      <c r="A1400" t="s">
        <v>374</v>
      </c>
      <c r="B1400" t="s">
        <v>13</v>
      </c>
      <c r="C1400" s="2">
        <f>HYPERLINK("https://svao.dolgi.msk.ru/account/1760019083/", 1760019083)</f>
        <v>1760019083</v>
      </c>
      <c r="D1400">
        <v>1735.55</v>
      </c>
    </row>
    <row r="1401" spans="1:4" x14ac:dyDescent="0.25">
      <c r="A1401" t="s">
        <v>374</v>
      </c>
      <c r="B1401" t="s">
        <v>15</v>
      </c>
      <c r="C1401" s="2">
        <f>HYPERLINK("https://svao.dolgi.msk.ru/account/1760019139/", 1760019139)</f>
        <v>1760019139</v>
      </c>
      <c r="D1401">
        <v>2300.1799999999998</v>
      </c>
    </row>
    <row r="1402" spans="1:4" x14ac:dyDescent="0.25">
      <c r="A1402" t="s">
        <v>374</v>
      </c>
      <c r="B1402" t="s">
        <v>19</v>
      </c>
      <c r="C1402" s="2">
        <f>HYPERLINK("https://svao.dolgi.msk.ru/account/1760019198/", 1760019198)</f>
        <v>1760019198</v>
      </c>
      <c r="D1402">
        <v>257.06</v>
      </c>
    </row>
    <row r="1403" spans="1:4" x14ac:dyDescent="0.25">
      <c r="A1403" t="s">
        <v>374</v>
      </c>
      <c r="B1403" t="s">
        <v>20</v>
      </c>
      <c r="C1403" s="2">
        <f>HYPERLINK("https://svao.dolgi.msk.ru/account/1760019235/", 1760019235)</f>
        <v>1760019235</v>
      </c>
      <c r="D1403">
        <v>5595.71</v>
      </c>
    </row>
    <row r="1404" spans="1:4" x14ac:dyDescent="0.25">
      <c r="A1404" t="s">
        <v>374</v>
      </c>
      <c r="B1404" t="s">
        <v>112</v>
      </c>
      <c r="C1404" s="2">
        <f>HYPERLINK("https://svao.dolgi.msk.ru/account/1760019307/", 1760019307)</f>
        <v>1760019307</v>
      </c>
      <c r="D1404">
        <v>16297.55</v>
      </c>
    </row>
    <row r="1405" spans="1:4" x14ac:dyDescent="0.25">
      <c r="A1405" t="s">
        <v>374</v>
      </c>
      <c r="B1405" t="s">
        <v>21</v>
      </c>
      <c r="C1405" s="2">
        <f>HYPERLINK("https://svao.dolgi.msk.ru/account/1760019323/", 1760019323)</f>
        <v>1760019323</v>
      </c>
      <c r="D1405">
        <v>3812.75</v>
      </c>
    </row>
    <row r="1406" spans="1:4" x14ac:dyDescent="0.25">
      <c r="A1406" t="s">
        <v>374</v>
      </c>
      <c r="B1406" t="s">
        <v>77</v>
      </c>
      <c r="C1406" s="2">
        <f>HYPERLINK("https://svao.dolgi.msk.ru/account/1760019331/", 1760019331)</f>
        <v>1760019331</v>
      </c>
      <c r="D1406">
        <v>2842.02</v>
      </c>
    </row>
    <row r="1407" spans="1:4" x14ac:dyDescent="0.25">
      <c r="A1407" t="s">
        <v>374</v>
      </c>
      <c r="B1407" t="s">
        <v>24</v>
      </c>
      <c r="C1407" s="2">
        <f>HYPERLINK("https://svao.dolgi.msk.ru/account/1760019462/", 1760019462)</f>
        <v>1760019462</v>
      </c>
      <c r="D1407">
        <v>3070.07</v>
      </c>
    </row>
    <row r="1408" spans="1:4" x14ac:dyDescent="0.25">
      <c r="A1408" t="s">
        <v>374</v>
      </c>
      <c r="B1408" t="s">
        <v>95</v>
      </c>
      <c r="C1408" s="2">
        <f>HYPERLINK("https://svao.dolgi.msk.ru/account/1760019518/", 1760019518)</f>
        <v>1760019518</v>
      </c>
      <c r="D1408">
        <v>627</v>
      </c>
    </row>
    <row r="1409" spans="1:4" x14ac:dyDescent="0.25">
      <c r="A1409" t="s">
        <v>375</v>
      </c>
      <c r="B1409" t="s">
        <v>41</v>
      </c>
      <c r="C1409" s="2">
        <f>HYPERLINK("https://svao.dolgi.msk.ru/account/1760004498/", 1760004498)</f>
        <v>1760004498</v>
      </c>
      <c r="D1409">
        <v>1861.56</v>
      </c>
    </row>
    <row r="1410" spans="1:4" x14ac:dyDescent="0.25">
      <c r="A1410" t="s">
        <v>375</v>
      </c>
      <c r="B1410" t="s">
        <v>5</v>
      </c>
      <c r="C1410" s="2">
        <f>HYPERLINK("https://svao.dolgi.msk.ru/account/1760004519/", 1760004519)</f>
        <v>1760004519</v>
      </c>
      <c r="D1410">
        <v>6905.71</v>
      </c>
    </row>
    <row r="1411" spans="1:4" x14ac:dyDescent="0.25">
      <c r="A1411" t="s">
        <v>375</v>
      </c>
      <c r="B1411" t="s">
        <v>7</v>
      </c>
      <c r="C1411" s="2">
        <f>HYPERLINK("https://svao.dolgi.msk.ru/account/1760004527/", 1760004527)</f>
        <v>1760004527</v>
      </c>
      <c r="D1411">
        <v>17587.84</v>
      </c>
    </row>
    <row r="1412" spans="1:4" x14ac:dyDescent="0.25">
      <c r="A1412" t="s">
        <v>375</v>
      </c>
      <c r="B1412" t="s">
        <v>101</v>
      </c>
      <c r="C1412" s="2">
        <f>HYPERLINK("https://svao.dolgi.msk.ru/account/1760004535/", 1760004535)</f>
        <v>1760004535</v>
      </c>
      <c r="D1412">
        <v>7939.96</v>
      </c>
    </row>
    <row r="1413" spans="1:4" x14ac:dyDescent="0.25">
      <c r="A1413" t="s">
        <v>375</v>
      </c>
      <c r="B1413" t="s">
        <v>102</v>
      </c>
      <c r="C1413" s="2">
        <f>HYPERLINK("https://svao.dolgi.msk.ru/account/1760004551/", 1760004551)</f>
        <v>1760004551</v>
      </c>
      <c r="D1413">
        <v>1313.4</v>
      </c>
    </row>
    <row r="1414" spans="1:4" x14ac:dyDescent="0.25">
      <c r="A1414" t="s">
        <v>375</v>
      </c>
      <c r="B1414" t="s">
        <v>73</v>
      </c>
      <c r="C1414" s="2">
        <f>HYPERLINK("https://svao.dolgi.msk.ru/account/1760004586/", 1760004586)</f>
        <v>1760004586</v>
      </c>
      <c r="D1414">
        <v>477.86</v>
      </c>
    </row>
    <row r="1415" spans="1:4" x14ac:dyDescent="0.25">
      <c r="A1415" t="s">
        <v>375</v>
      </c>
      <c r="B1415" t="s">
        <v>104</v>
      </c>
      <c r="C1415" s="2">
        <f>HYPERLINK("https://svao.dolgi.msk.ru/account/1760004594/", 1760004594)</f>
        <v>1760004594</v>
      </c>
      <c r="D1415">
        <v>5865.64</v>
      </c>
    </row>
    <row r="1416" spans="1:4" x14ac:dyDescent="0.25">
      <c r="A1416" t="s">
        <v>375</v>
      </c>
      <c r="B1416" t="s">
        <v>74</v>
      </c>
      <c r="C1416" s="2">
        <f>HYPERLINK("https://svao.dolgi.msk.ru/account/1760004615/", 1760004615)</f>
        <v>1760004615</v>
      </c>
      <c r="D1416">
        <v>4308.57</v>
      </c>
    </row>
    <row r="1417" spans="1:4" x14ac:dyDescent="0.25">
      <c r="A1417" t="s">
        <v>375</v>
      </c>
      <c r="B1417" t="s">
        <v>137</v>
      </c>
      <c r="C1417" s="2">
        <f>HYPERLINK("https://svao.dolgi.msk.ru/account/1760004623/", 1760004623)</f>
        <v>1760004623</v>
      </c>
      <c r="D1417">
        <v>7286.7</v>
      </c>
    </row>
    <row r="1418" spans="1:4" x14ac:dyDescent="0.25">
      <c r="A1418" t="s">
        <v>375</v>
      </c>
      <c r="B1418" t="s">
        <v>10</v>
      </c>
      <c r="C1418" s="2">
        <f>HYPERLINK("https://svao.dolgi.msk.ru/account/1760004674/", 1760004674)</f>
        <v>1760004674</v>
      </c>
      <c r="D1418">
        <v>4996.46</v>
      </c>
    </row>
    <row r="1419" spans="1:4" x14ac:dyDescent="0.25">
      <c r="A1419" t="s">
        <v>375</v>
      </c>
      <c r="B1419" t="s">
        <v>11</v>
      </c>
      <c r="C1419" s="2">
        <f>HYPERLINK("https://svao.dolgi.msk.ru/account/1760004703/", 1760004703)</f>
        <v>1760004703</v>
      </c>
      <c r="D1419">
        <v>3328.99</v>
      </c>
    </row>
    <row r="1420" spans="1:4" x14ac:dyDescent="0.25">
      <c r="A1420" t="s">
        <v>375</v>
      </c>
      <c r="B1420" t="s">
        <v>14</v>
      </c>
      <c r="C1420" s="2">
        <f>HYPERLINK("https://svao.dolgi.msk.ru/account/1760004746/", 1760004746)</f>
        <v>1760004746</v>
      </c>
      <c r="D1420">
        <v>2750.34</v>
      </c>
    </row>
    <row r="1421" spans="1:4" x14ac:dyDescent="0.25">
      <c r="A1421" t="s">
        <v>375</v>
      </c>
      <c r="B1421" t="s">
        <v>108</v>
      </c>
      <c r="C1421" s="2">
        <f>HYPERLINK("https://svao.dolgi.msk.ru/account/1760004797/", 1760004797)</f>
        <v>1760004797</v>
      </c>
      <c r="D1421">
        <v>2340.8000000000002</v>
      </c>
    </row>
    <row r="1422" spans="1:4" x14ac:dyDescent="0.25">
      <c r="A1422" t="s">
        <v>375</v>
      </c>
      <c r="B1422" t="s">
        <v>109</v>
      </c>
      <c r="C1422" s="2">
        <f>HYPERLINK("https://svao.dolgi.msk.ru/account/1760004869/", 1760004869)</f>
        <v>1760004869</v>
      </c>
      <c r="D1422">
        <v>168.18</v>
      </c>
    </row>
    <row r="1423" spans="1:4" x14ac:dyDescent="0.25">
      <c r="A1423" t="s">
        <v>375</v>
      </c>
      <c r="B1423" t="s">
        <v>76</v>
      </c>
      <c r="C1423" s="2">
        <f>HYPERLINK("https://svao.dolgi.msk.ru/account/1760004893/", 1760004893)</f>
        <v>1760004893</v>
      </c>
      <c r="D1423">
        <v>5084.1099999999997</v>
      </c>
    </row>
    <row r="1424" spans="1:4" x14ac:dyDescent="0.25">
      <c r="A1424" t="s">
        <v>375</v>
      </c>
      <c r="B1424" t="s">
        <v>112</v>
      </c>
      <c r="C1424" s="2">
        <f>HYPERLINK("https://svao.dolgi.msk.ru/account/1760004957/", 1760004957)</f>
        <v>1760004957</v>
      </c>
      <c r="D1424">
        <v>18451.259999999998</v>
      </c>
    </row>
    <row r="1425" spans="1:4" x14ac:dyDescent="0.25">
      <c r="A1425" t="s">
        <v>375</v>
      </c>
      <c r="B1425" t="s">
        <v>21</v>
      </c>
      <c r="C1425" s="2">
        <f>HYPERLINK("https://svao.dolgi.msk.ru/account/1760004973/", 1760004973)</f>
        <v>1760004973</v>
      </c>
      <c r="D1425">
        <v>5774.72</v>
      </c>
    </row>
    <row r="1426" spans="1:4" x14ac:dyDescent="0.25">
      <c r="A1426" t="s">
        <v>375</v>
      </c>
      <c r="B1426" t="s">
        <v>114</v>
      </c>
      <c r="C1426" s="2">
        <f>HYPERLINK("https://svao.dolgi.msk.ru/account/1760005001/", 1760005001)</f>
        <v>1760005001</v>
      </c>
      <c r="D1426">
        <v>3746.12</v>
      </c>
    </row>
    <row r="1427" spans="1:4" x14ac:dyDescent="0.25">
      <c r="A1427" t="s">
        <v>375</v>
      </c>
      <c r="B1427" t="s">
        <v>78</v>
      </c>
      <c r="C1427" s="2">
        <f>HYPERLINK("https://svao.dolgi.msk.ru/account/1760005028/", 1760005028)</f>
        <v>1760005028</v>
      </c>
      <c r="D1427">
        <v>5629.79</v>
      </c>
    </row>
    <row r="1428" spans="1:4" x14ac:dyDescent="0.25">
      <c r="A1428" t="s">
        <v>375</v>
      </c>
      <c r="B1428" t="s">
        <v>79</v>
      </c>
      <c r="C1428" s="2">
        <f>HYPERLINK("https://svao.dolgi.msk.ru/account/1760005044/", 1760005044)</f>
        <v>1760005044</v>
      </c>
      <c r="D1428">
        <v>3169.41</v>
      </c>
    </row>
    <row r="1429" spans="1:4" x14ac:dyDescent="0.25">
      <c r="A1429" t="s">
        <v>375</v>
      </c>
      <c r="B1429" t="s">
        <v>23</v>
      </c>
      <c r="C1429" s="2">
        <f>HYPERLINK("https://svao.dolgi.msk.ru/account/1760005052/", 1760005052)</f>
        <v>1760005052</v>
      </c>
      <c r="D1429">
        <v>4111.6899999999996</v>
      </c>
    </row>
    <row r="1430" spans="1:4" x14ac:dyDescent="0.25">
      <c r="A1430" t="s">
        <v>375</v>
      </c>
      <c r="B1430" t="s">
        <v>24</v>
      </c>
      <c r="C1430" s="2">
        <f>HYPERLINK("https://svao.dolgi.msk.ru/account/1760005116/", 1760005116)</f>
        <v>1760005116</v>
      </c>
      <c r="D1430">
        <v>2405.6</v>
      </c>
    </row>
    <row r="1431" spans="1:4" x14ac:dyDescent="0.25">
      <c r="A1431" t="s">
        <v>375</v>
      </c>
      <c r="B1431" t="s">
        <v>95</v>
      </c>
      <c r="C1431" s="2">
        <f>HYPERLINK("https://svao.dolgi.msk.ru/account/1760005159/", 1760005159)</f>
        <v>1760005159</v>
      </c>
      <c r="D1431">
        <v>255.99</v>
      </c>
    </row>
    <row r="1432" spans="1:4" x14ac:dyDescent="0.25">
      <c r="A1432" t="s">
        <v>375</v>
      </c>
      <c r="B1432" t="s">
        <v>95</v>
      </c>
      <c r="C1432" s="2">
        <f>HYPERLINK("https://svao.dolgi.msk.ru/account/1760253486/", 1760253486)</f>
        <v>1760253486</v>
      </c>
      <c r="D1432">
        <v>2032.95</v>
      </c>
    </row>
    <row r="1433" spans="1:4" x14ac:dyDescent="0.25">
      <c r="A1433" t="s">
        <v>375</v>
      </c>
      <c r="B1433" t="s">
        <v>126</v>
      </c>
      <c r="C1433" s="2">
        <f>HYPERLINK("https://svao.dolgi.msk.ru/account/1760005183/", 1760005183)</f>
        <v>1760005183</v>
      </c>
      <c r="D1433">
        <v>2481.63</v>
      </c>
    </row>
    <row r="1434" spans="1:4" x14ac:dyDescent="0.25">
      <c r="A1434" t="s">
        <v>375</v>
      </c>
      <c r="B1434" t="s">
        <v>118</v>
      </c>
      <c r="C1434" s="2">
        <f>HYPERLINK("https://svao.dolgi.msk.ru/account/1760005204/", 1760005204)</f>
        <v>1760005204</v>
      </c>
      <c r="D1434">
        <v>2518.44</v>
      </c>
    </row>
    <row r="1435" spans="1:4" x14ac:dyDescent="0.25">
      <c r="A1435" t="s">
        <v>376</v>
      </c>
      <c r="B1435" t="s">
        <v>127</v>
      </c>
      <c r="C1435" s="2">
        <f>HYPERLINK("https://svao.dolgi.msk.ru/account/1760025504/", 1760025504)</f>
        <v>1760025504</v>
      </c>
      <c r="D1435">
        <v>7223.46</v>
      </c>
    </row>
    <row r="1436" spans="1:4" x14ac:dyDescent="0.25">
      <c r="A1436" t="s">
        <v>376</v>
      </c>
      <c r="B1436" t="s">
        <v>82</v>
      </c>
      <c r="C1436" s="2">
        <f>HYPERLINK("https://svao.dolgi.msk.ru/account/1760025555/", 1760025555)</f>
        <v>1760025555</v>
      </c>
      <c r="D1436">
        <v>3189.56</v>
      </c>
    </row>
    <row r="1437" spans="1:4" x14ac:dyDescent="0.25">
      <c r="A1437" t="s">
        <v>376</v>
      </c>
      <c r="B1437" t="s">
        <v>83</v>
      </c>
      <c r="C1437" s="2">
        <f>HYPERLINK("https://svao.dolgi.msk.ru/account/1760025598/", 1760025598)</f>
        <v>1760025598</v>
      </c>
      <c r="D1437">
        <v>3500.13</v>
      </c>
    </row>
    <row r="1438" spans="1:4" x14ac:dyDescent="0.25">
      <c r="A1438" t="s">
        <v>376</v>
      </c>
      <c r="B1438" t="s">
        <v>26</v>
      </c>
      <c r="C1438" s="2">
        <f>HYPERLINK("https://svao.dolgi.msk.ru/account/1760025627/", 1760025627)</f>
        <v>1760025627</v>
      </c>
      <c r="D1438">
        <v>2979.03</v>
      </c>
    </row>
    <row r="1439" spans="1:4" x14ac:dyDescent="0.25">
      <c r="A1439" t="s">
        <v>376</v>
      </c>
      <c r="B1439" t="s">
        <v>96</v>
      </c>
      <c r="C1439" s="2">
        <f>HYPERLINK("https://svao.dolgi.msk.ru/account/1760025643/", 1760025643)</f>
        <v>1760025643</v>
      </c>
      <c r="D1439">
        <v>6100.91</v>
      </c>
    </row>
    <row r="1440" spans="1:4" x14ac:dyDescent="0.25">
      <c r="A1440" t="s">
        <v>376</v>
      </c>
      <c r="B1440" t="s">
        <v>290</v>
      </c>
      <c r="C1440" s="2">
        <f>HYPERLINK("https://svao.dolgi.msk.ru/account/1760025678/", 1760025678)</f>
        <v>1760025678</v>
      </c>
      <c r="D1440">
        <v>8095.25</v>
      </c>
    </row>
    <row r="1441" spans="1:4" x14ac:dyDescent="0.25">
      <c r="A1441" t="s">
        <v>376</v>
      </c>
      <c r="B1441" t="s">
        <v>139</v>
      </c>
      <c r="C1441" s="2">
        <f>HYPERLINK("https://svao.dolgi.msk.ru/account/1760025715/", 1760025715)</f>
        <v>1760025715</v>
      </c>
      <c r="D1441">
        <v>2290.2399999999998</v>
      </c>
    </row>
    <row r="1442" spans="1:4" x14ac:dyDescent="0.25">
      <c r="A1442" t="s">
        <v>376</v>
      </c>
      <c r="B1442" t="s">
        <v>28</v>
      </c>
      <c r="C1442" s="2">
        <f>HYPERLINK("https://svao.dolgi.msk.ru/account/1760025723/", 1760025723)</f>
        <v>1760025723</v>
      </c>
      <c r="D1442">
        <v>10097.07</v>
      </c>
    </row>
    <row r="1443" spans="1:4" x14ac:dyDescent="0.25">
      <c r="A1443" t="s">
        <v>376</v>
      </c>
      <c r="B1443" t="s">
        <v>244</v>
      </c>
      <c r="C1443" s="2">
        <f>HYPERLINK("https://svao.dolgi.msk.ru/account/1760025758/", 1760025758)</f>
        <v>1760025758</v>
      </c>
      <c r="D1443">
        <v>3526.47</v>
      </c>
    </row>
    <row r="1444" spans="1:4" x14ac:dyDescent="0.25">
      <c r="A1444" t="s">
        <v>376</v>
      </c>
      <c r="B1444" t="s">
        <v>97</v>
      </c>
      <c r="C1444" s="2">
        <f>HYPERLINK("https://svao.dolgi.msk.ru/account/1760025782/", 1760025782)</f>
        <v>1760025782</v>
      </c>
      <c r="D1444">
        <v>246.25</v>
      </c>
    </row>
    <row r="1445" spans="1:4" x14ac:dyDescent="0.25">
      <c r="A1445" t="s">
        <v>376</v>
      </c>
      <c r="B1445" t="s">
        <v>35</v>
      </c>
      <c r="C1445" s="2">
        <f>HYPERLINK("https://svao.dolgi.msk.ru/account/1760025926/", 1760025926)</f>
        <v>1760025926</v>
      </c>
      <c r="D1445">
        <v>9488.2199999999993</v>
      </c>
    </row>
    <row r="1446" spans="1:4" x14ac:dyDescent="0.25">
      <c r="A1446" t="s">
        <v>376</v>
      </c>
      <c r="B1446" t="s">
        <v>87</v>
      </c>
      <c r="C1446" s="2">
        <f>HYPERLINK("https://svao.dolgi.msk.ru/account/1760025985/", 1760025985)</f>
        <v>1760025985</v>
      </c>
      <c r="D1446">
        <v>1025.31</v>
      </c>
    </row>
    <row r="1447" spans="1:4" x14ac:dyDescent="0.25">
      <c r="A1447" t="s">
        <v>376</v>
      </c>
      <c r="B1447" t="s">
        <v>88</v>
      </c>
      <c r="C1447" s="2">
        <f>HYPERLINK("https://svao.dolgi.msk.ru/account/1760026005/", 1760026005)</f>
        <v>1760026005</v>
      </c>
      <c r="D1447">
        <v>4959.05</v>
      </c>
    </row>
    <row r="1448" spans="1:4" x14ac:dyDescent="0.25">
      <c r="A1448" t="s">
        <v>376</v>
      </c>
      <c r="B1448" t="s">
        <v>293</v>
      </c>
      <c r="C1448" s="2">
        <f>HYPERLINK("https://svao.dolgi.msk.ru/account/1760026013/", 1760026013)</f>
        <v>1760026013</v>
      </c>
      <c r="D1448">
        <v>3675.88</v>
      </c>
    </row>
    <row r="1449" spans="1:4" x14ac:dyDescent="0.25">
      <c r="A1449" t="s">
        <v>376</v>
      </c>
      <c r="B1449" t="s">
        <v>143</v>
      </c>
      <c r="C1449" s="2">
        <f>HYPERLINK("https://svao.dolgi.msk.ru/account/1760026187/", 1760026187)</f>
        <v>1760026187</v>
      </c>
      <c r="D1449">
        <v>13508.29</v>
      </c>
    </row>
    <row r="1450" spans="1:4" x14ac:dyDescent="0.25">
      <c r="A1450" t="s">
        <v>376</v>
      </c>
      <c r="B1450" t="s">
        <v>249</v>
      </c>
      <c r="C1450" s="2">
        <f>HYPERLINK("https://svao.dolgi.msk.ru/account/1760026275/", 1760026275)</f>
        <v>1760026275</v>
      </c>
      <c r="D1450">
        <v>1713.92</v>
      </c>
    </row>
    <row r="1451" spans="1:4" x14ac:dyDescent="0.25">
      <c r="A1451" t="s">
        <v>376</v>
      </c>
      <c r="B1451" t="s">
        <v>339</v>
      </c>
      <c r="C1451" s="2">
        <f>HYPERLINK("https://svao.dolgi.msk.ru/account/1760026283/", 1760026283)</f>
        <v>1760026283</v>
      </c>
      <c r="D1451">
        <v>3566.82</v>
      </c>
    </row>
    <row r="1452" spans="1:4" x14ac:dyDescent="0.25">
      <c r="A1452" t="s">
        <v>376</v>
      </c>
      <c r="B1452" t="s">
        <v>250</v>
      </c>
      <c r="C1452" s="2">
        <f>HYPERLINK("https://svao.dolgi.msk.ru/account/1760026304/", 1760026304)</f>
        <v>1760026304</v>
      </c>
      <c r="D1452">
        <v>119.2</v>
      </c>
    </row>
    <row r="1453" spans="1:4" x14ac:dyDescent="0.25">
      <c r="A1453" t="s">
        <v>376</v>
      </c>
      <c r="B1453" t="s">
        <v>48</v>
      </c>
      <c r="C1453" s="2">
        <f>HYPERLINK("https://svao.dolgi.msk.ru/account/1760026339/", 1760026339)</f>
        <v>1760026339</v>
      </c>
      <c r="D1453">
        <v>4747.28</v>
      </c>
    </row>
    <row r="1454" spans="1:4" x14ac:dyDescent="0.25">
      <c r="A1454" t="s">
        <v>376</v>
      </c>
      <c r="B1454" t="s">
        <v>294</v>
      </c>
      <c r="C1454" s="2">
        <f>HYPERLINK("https://svao.dolgi.msk.ru/account/1760026355/", 1760026355)</f>
        <v>1760026355</v>
      </c>
      <c r="D1454">
        <v>4264.71</v>
      </c>
    </row>
    <row r="1455" spans="1:4" x14ac:dyDescent="0.25">
      <c r="A1455" t="s">
        <v>376</v>
      </c>
      <c r="B1455" t="s">
        <v>147</v>
      </c>
      <c r="C1455" s="2">
        <f>HYPERLINK("https://svao.dolgi.msk.ru/account/1760026363/", 1760026363)</f>
        <v>1760026363</v>
      </c>
      <c r="D1455">
        <v>36591.599999999999</v>
      </c>
    </row>
    <row r="1456" spans="1:4" x14ac:dyDescent="0.25">
      <c r="A1456" t="s">
        <v>376</v>
      </c>
      <c r="B1456" t="s">
        <v>251</v>
      </c>
      <c r="C1456" s="2">
        <f>HYPERLINK("https://svao.dolgi.msk.ru/account/1760026371/", 1760026371)</f>
        <v>1760026371</v>
      </c>
      <c r="D1456">
        <v>7183.87</v>
      </c>
    </row>
    <row r="1457" spans="1:4" x14ac:dyDescent="0.25">
      <c r="A1457" t="s">
        <v>376</v>
      </c>
      <c r="B1457" t="s">
        <v>306</v>
      </c>
      <c r="C1457" s="2">
        <f>HYPERLINK("https://svao.dolgi.msk.ru/account/1760026419/", 1760026419)</f>
        <v>1760026419</v>
      </c>
      <c r="D1457">
        <v>8846.65</v>
      </c>
    </row>
    <row r="1458" spans="1:4" x14ac:dyDescent="0.25">
      <c r="A1458" t="s">
        <v>376</v>
      </c>
      <c r="B1458" t="s">
        <v>149</v>
      </c>
      <c r="C1458" s="2">
        <f>HYPERLINK("https://svao.dolgi.msk.ru/account/1760026515/", 1760026515)</f>
        <v>1760026515</v>
      </c>
      <c r="D1458">
        <v>141.01</v>
      </c>
    </row>
    <row r="1459" spans="1:4" x14ac:dyDescent="0.25">
      <c r="A1459" t="s">
        <v>376</v>
      </c>
      <c r="B1459" t="s">
        <v>307</v>
      </c>
      <c r="C1459" s="2">
        <f>HYPERLINK("https://svao.dolgi.msk.ru/account/1760026523/", 1760026523)</f>
        <v>1760026523</v>
      </c>
      <c r="D1459">
        <v>5000.49</v>
      </c>
    </row>
    <row r="1460" spans="1:4" x14ac:dyDescent="0.25">
      <c r="A1460" t="s">
        <v>376</v>
      </c>
      <c r="B1460" t="s">
        <v>152</v>
      </c>
      <c r="C1460" s="2">
        <f>HYPERLINK("https://svao.dolgi.msk.ru/account/1760026574/", 1760026574)</f>
        <v>1760026574</v>
      </c>
      <c r="D1460">
        <v>37365.120000000003</v>
      </c>
    </row>
    <row r="1461" spans="1:4" x14ac:dyDescent="0.25">
      <c r="A1461" t="s">
        <v>376</v>
      </c>
      <c r="B1461" t="s">
        <v>53</v>
      </c>
      <c r="C1461" s="2">
        <f>HYPERLINK("https://svao.dolgi.msk.ru/account/1760026603/", 1760026603)</f>
        <v>1760026603</v>
      </c>
      <c r="D1461">
        <v>206.58</v>
      </c>
    </row>
    <row r="1462" spans="1:4" x14ac:dyDescent="0.25">
      <c r="A1462" t="s">
        <v>376</v>
      </c>
      <c r="B1462" t="s">
        <v>54</v>
      </c>
      <c r="C1462" s="2">
        <f>HYPERLINK("https://svao.dolgi.msk.ru/account/1760026638/", 1760026638)</f>
        <v>1760026638</v>
      </c>
      <c r="D1462">
        <v>10323.11</v>
      </c>
    </row>
    <row r="1463" spans="1:4" x14ac:dyDescent="0.25">
      <c r="A1463" t="s">
        <v>376</v>
      </c>
      <c r="B1463" t="s">
        <v>327</v>
      </c>
      <c r="C1463" s="2">
        <f>HYPERLINK("https://svao.dolgi.msk.ru/account/1760026777/", 1760026777)</f>
        <v>1760026777</v>
      </c>
      <c r="D1463">
        <v>3423.14</v>
      </c>
    </row>
    <row r="1464" spans="1:4" x14ac:dyDescent="0.25">
      <c r="A1464" t="s">
        <v>376</v>
      </c>
      <c r="B1464" t="s">
        <v>154</v>
      </c>
      <c r="C1464" s="2">
        <f>HYPERLINK("https://svao.dolgi.msk.ru/account/1760026793/", 1760026793)</f>
        <v>1760026793</v>
      </c>
      <c r="D1464">
        <v>2556.08</v>
      </c>
    </row>
    <row r="1465" spans="1:4" x14ac:dyDescent="0.25">
      <c r="A1465" t="s">
        <v>376</v>
      </c>
      <c r="B1465" t="s">
        <v>312</v>
      </c>
      <c r="C1465" s="2">
        <f>HYPERLINK("https://svao.dolgi.msk.ru/account/1760026814/", 1760026814)</f>
        <v>1760026814</v>
      </c>
      <c r="D1465">
        <v>11675.93</v>
      </c>
    </row>
    <row r="1466" spans="1:4" x14ac:dyDescent="0.25">
      <c r="A1466" t="s">
        <v>376</v>
      </c>
      <c r="B1466" t="s">
        <v>335</v>
      </c>
      <c r="C1466" s="2">
        <f>HYPERLINK("https://svao.dolgi.msk.ru/account/1760026822/", 1760026822)</f>
        <v>1760026822</v>
      </c>
      <c r="D1466">
        <v>5784.71</v>
      </c>
    </row>
    <row r="1467" spans="1:4" x14ac:dyDescent="0.25">
      <c r="A1467" t="s">
        <v>376</v>
      </c>
      <c r="B1467" t="s">
        <v>156</v>
      </c>
      <c r="C1467" s="2">
        <f>HYPERLINK("https://svao.dolgi.msk.ru/account/1760026857/", 1760026857)</f>
        <v>1760026857</v>
      </c>
      <c r="D1467">
        <v>3024.65</v>
      </c>
    </row>
    <row r="1468" spans="1:4" x14ac:dyDescent="0.25">
      <c r="A1468" t="s">
        <v>376</v>
      </c>
      <c r="B1468" t="s">
        <v>157</v>
      </c>
      <c r="C1468" s="2">
        <f>HYPERLINK("https://svao.dolgi.msk.ru/account/1760026865/", 1760026865)</f>
        <v>1760026865</v>
      </c>
      <c r="D1468">
        <v>5134.95</v>
      </c>
    </row>
    <row r="1469" spans="1:4" x14ac:dyDescent="0.25">
      <c r="A1469" t="s">
        <v>376</v>
      </c>
      <c r="B1469" t="s">
        <v>377</v>
      </c>
      <c r="C1469" s="2">
        <f>HYPERLINK("https://svao.dolgi.msk.ru/account/1760026929/", 1760026929)</f>
        <v>1760026929</v>
      </c>
      <c r="D1469">
        <v>6698.91</v>
      </c>
    </row>
    <row r="1470" spans="1:4" x14ac:dyDescent="0.25">
      <c r="A1470" t="s">
        <v>376</v>
      </c>
      <c r="B1470" t="s">
        <v>299</v>
      </c>
      <c r="C1470" s="2">
        <f>HYPERLINK("https://svao.dolgi.msk.ru/account/1760026953/", 1760026953)</f>
        <v>1760026953</v>
      </c>
      <c r="D1470">
        <v>6315.49</v>
      </c>
    </row>
    <row r="1471" spans="1:4" x14ac:dyDescent="0.25">
      <c r="A1471" t="s">
        <v>376</v>
      </c>
      <c r="B1471" t="s">
        <v>378</v>
      </c>
      <c r="C1471" s="2">
        <f>HYPERLINK("https://svao.dolgi.msk.ru/account/1760027024/", 1760027024)</f>
        <v>1760027024</v>
      </c>
      <c r="D1471">
        <v>6392.35</v>
      </c>
    </row>
    <row r="1472" spans="1:4" x14ac:dyDescent="0.25">
      <c r="A1472" t="s">
        <v>376</v>
      </c>
      <c r="B1472" t="s">
        <v>345</v>
      </c>
      <c r="C1472" s="2">
        <f>HYPERLINK("https://svao.dolgi.msk.ru/account/1760027147/", 1760027147)</f>
        <v>1760027147</v>
      </c>
      <c r="D1472">
        <v>3762.93</v>
      </c>
    </row>
    <row r="1473" spans="1:4" x14ac:dyDescent="0.25">
      <c r="A1473" t="s">
        <v>376</v>
      </c>
      <c r="B1473" t="s">
        <v>65</v>
      </c>
      <c r="C1473" s="2">
        <f>HYPERLINK("https://svao.dolgi.msk.ru/account/1760027163/", 1760027163)</f>
        <v>1760027163</v>
      </c>
      <c r="D1473">
        <v>4769.34</v>
      </c>
    </row>
    <row r="1474" spans="1:4" x14ac:dyDescent="0.25">
      <c r="A1474" t="s">
        <v>376</v>
      </c>
      <c r="B1474" t="s">
        <v>379</v>
      </c>
      <c r="C1474" s="2">
        <f>HYPERLINK("https://svao.dolgi.msk.ru/account/1760027235/", 1760027235)</f>
        <v>1760027235</v>
      </c>
      <c r="D1474">
        <v>7020.74</v>
      </c>
    </row>
    <row r="1475" spans="1:4" x14ac:dyDescent="0.25">
      <c r="A1475" t="s">
        <v>376</v>
      </c>
      <c r="B1475" t="s">
        <v>380</v>
      </c>
      <c r="C1475" s="2">
        <f>HYPERLINK("https://svao.dolgi.msk.ru/account/1760027243/", 1760027243)</f>
        <v>1760027243</v>
      </c>
      <c r="D1475">
        <v>3115.06</v>
      </c>
    </row>
    <row r="1476" spans="1:4" x14ac:dyDescent="0.25">
      <c r="A1476" t="s">
        <v>376</v>
      </c>
      <c r="B1476" t="s">
        <v>68</v>
      </c>
      <c r="C1476" s="2">
        <f>HYPERLINK("https://svao.dolgi.msk.ru/account/1760027307/", 1760027307)</f>
        <v>1760027307</v>
      </c>
      <c r="D1476">
        <v>4760.8900000000003</v>
      </c>
    </row>
    <row r="1477" spans="1:4" x14ac:dyDescent="0.25">
      <c r="A1477" t="s">
        <v>381</v>
      </c>
      <c r="B1477" t="s">
        <v>41</v>
      </c>
      <c r="C1477" s="2">
        <f>HYPERLINK("https://svao.dolgi.msk.ru/account/1760019606/", 1760019606)</f>
        <v>1760019606</v>
      </c>
      <c r="D1477">
        <v>3122.09</v>
      </c>
    </row>
    <row r="1478" spans="1:4" x14ac:dyDescent="0.25">
      <c r="A1478" t="s">
        <v>381</v>
      </c>
      <c r="B1478" t="s">
        <v>7</v>
      </c>
      <c r="C1478" s="2">
        <f>HYPERLINK("https://svao.dolgi.msk.ru/account/1760019622/", 1760019622)</f>
        <v>1760019622</v>
      </c>
      <c r="D1478">
        <v>4868.71</v>
      </c>
    </row>
    <row r="1479" spans="1:4" x14ac:dyDescent="0.25">
      <c r="A1479" t="s">
        <v>381</v>
      </c>
      <c r="B1479" t="s">
        <v>101</v>
      </c>
      <c r="C1479" s="2">
        <f>HYPERLINK("https://svao.dolgi.msk.ru/account/1760019649/", 1760019649)</f>
        <v>1760019649</v>
      </c>
      <c r="D1479">
        <v>2852.92</v>
      </c>
    </row>
    <row r="1480" spans="1:4" x14ac:dyDescent="0.25">
      <c r="A1480" t="s">
        <v>381</v>
      </c>
      <c r="B1480" t="s">
        <v>103</v>
      </c>
      <c r="C1480" s="2">
        <f>HYPERLINK("https://svao.dolgi.msk.ru/account/1760019673/", 1760019673)</f>
        <v>1760019673</v>
      </c>
      <c r="D1480">
        <v>1189.73</v>
      </c>
    </row>
    <row r="1481" spans="1:4" x14ac:dyDescent="0.25">
      <c r="A1481" t="s">
        <v>381</v>
      </c>
      <c r="B1481" t="s">
        <v>73</v>
      </c>
      <c r="C1481" s="2">
        <f>HYPERLINK("https://svao.dolgi.msk.ru/account/1760019681/", 1760019681)</f>
        <v>1760019681</v>
      </c>
      <c r="D1481">
        <v>468</v>
      </c>
    </row>
    <row r="1482" spans="1:4" x14ac:dyDescent="0.25">
      <c r="A1482" t="s">
        <v>381</v>
      </c>
      <c r="B1482" t="s">
        <v>104</v>
      </c>
      <c r="C1482" s="2">
        <f>HYPERLINK("https://svao.dolgi.msk.ru/account/1760019702/", 1760019702)</f>
        <v>1760019702</v>
      </c>
      <c r="D1482">
        <v>261928.09</v>
      </c>
    </row>
    <row r="1483" spans="1:4" x14ac:dyDescent="0.25">
      <c r="A1483" t="s">
        <v>381</v>
      </c>
      <c r="B1483" t="s">
        <v>11</v>
      </c>
      <c r="C1483" s="2">
        <f>HYPERLINK("https://svao.dolgi.msk.ru/account/1760019817/", 1760019817)</f>
        <v>1760019817</v>
      </c>
      <c r="D1483">
        <v>876.98</v>
      </c>
    </row>
    <row r="1484" spans="1:4" x14ac:dyDescent="0.25">
      <c r="A1484" t="s">
        <v>381</v>
      </c>
      <c r="B1484" t="s">
        <v>12</v>
      </c>
      <c r="C1484" s="2">
        <f>HYPERLINK("https://svao.dolgi.msk.ru/account/1760019825/", 1760019825)</f>
        <v>1760019825</v>
      </c>
      <c r="D1484">
        <v>3168.36</v>
      </c>
    </row>
    <row r="1485" spans="1:4" x14ac:dyDescent="0.25">
      <c r="A1485" t="s">
        <v>381</v>
      </c>
      <c r="B1485" t="s">
        <v>14</v>
      </c>
      <c r="C1485" s="2">
        <f>HYPERLINK("https://svao.dolgi.msk.ru/account/1760019841/", 1760019841)</f>
        <v>1760019841</v>
      </c>
      <c r="D1485">
        <v>3662.87</v>
      </c>
    </row>
    <row r="1486" spans="1:4" x14ac:dyDescent="0.25">
      <c r="A1486" t="s">
        <v>381</v>
      </c>
      <c r="B1486" t="s">
        <v>107</v>
      </c>
      <c r="C1486" s="2">
        <f>HYPERLINK("https://svao.dolgi.msk.ru/account/1760019876/", 1760019876)</f>
        <v>1760019876</v>
      </c>
      <c r="D1486">
        <v>1840.2</v>
      </c>
    </row>
    <row r="1487" spans="1:4" x14ac:dyDescent="0.25">
      <c r="A1487" t="s">
        <v>381</v>
      </c>
      <c r="B1487" t="s">
        <v>17</v>
      </c>
      <c r="C1487" s="2">
        <f>HYPERLINK("https://svao.dolgi.msk.ru/account/1760019913/", 1760019913)</f>
        <v>1760019913</v>
      </c>
      <c r="D1487">
        <v>2194.5</v>
      </c>
    </row>
    <row r="1488" spans="1:4" x14ac:dyDescent="0.25">
      <c r="A1488" t="s">
        <v>381</v>
      </c>
      <c r="B1488" t="s">
        <v>109</v>
      </c>
      <c r="C1488" s="2">
        <f>HYPERLINK("https://svao.dolgi.msk.ru/account/1760019956/", 1760019956)</f>
        <v>1760019956</v>
      </c>
      <c r="D1488">
        <v>182.76</v>
      </c>
    </row>
    <row r="1489" spans="1:4" x14ac:dyDescent="0.25">
      <c r="A1489" t="s">
        <v>381</v>
      </c>
      <c r="B1489" t="s">
        <v>93</v>
      </c>
      <c r="C1489" s="2">
        <f>HYPERLINK("https://svao.dolgi.msk.ru/account/1760020017/", 1760020017)</f>
        <v>1760020017</v>
      </c>
      <c r="D1489">
        <v>674.38</v>
      </c>
    </row>
    <row r="1490" spans="1:4" x14ac:dyDescent="0.25">
      <c r="A1490" t="s">
        <v>381</v>
      </c>
      <c r="B1490" t="s">
        <v>94</v>
      </c>
      <c r="C1490" s="2">
        <f>HYPERLINK("https://svao.dolgi.msk.ru/account/1760020033/", 1760020033)</f>
        <v>1760020033</v>
      </c>
      <c r="D1490">
        <v>611.99</v>
      </c>
    </row>
    <row r="1491" spans="1:4" x14ac:dyDescent="0.25">
      <c r="A1491" t="s">
        <v>381</v>
      </c>
      <c r="B1491" t="s">
        <v>77</v>
      </c>
      <c r="C1491" s="2">
        <f>HYPERLINK("https://svao.dolgi.msk.ru/account/1760020084/", 1760020084)</f>
        <v>1760020084</v>
      </c>
      <c r="D1491">
        <v>166.74</v>
      </c>
    </row>
    <row r="1492" spans="1:4" x14ac:dyDescent="0.25">
      <c r="A1492" t="s">
        <v>381</v>
      </c>
      <c r="B1492" t="s">
        <v>114</v>
      </c>
      <c r="C1492" s="2">
        <f>HYPERLINK("https://svao.dolgi.msk.ru/account/1760020092/", 1760020092)</f>
        <v>1760020092</v>
      </c>
      <c r="D1492">
        <v>3639.49</v>
      </c>
    </row>
    <row r="1493" spans="1:4" x14ac:dyDescent="0.25">
      <c r="A1493" t="s">
        <v>381</v>
      </c>
      <c r="B1493" t="s">
        <v>22</v>
      </c>
      <c r="C1493" s="2">
        <f>HYPERLINK("https://svao.dolgi.msk.ru/account/1760020113/", 1760020113)</f>
        <v>1760020113</v>
      </c>
      <c r="D1493">
        <v>17160.939999999999</v>
      </c>
    </row>
    <row r="1494" spans="1:4" x14ac:dyDescent="0.25">
      <c r="A1494" t="s">
        <v>381</v>
      </c>
      <c r="B1494" t="s">
        <v>23</v>
      </c>
      <c r="C1494" s="2">
        <f>HYPERLINK("https://svao.dolgi.msk.ru/account/1760020148/", 1760020148)</f>
        <v>1760020148</v>
      </c>
      <c r="D1494">
        <v>2281.19</v>
      </c>
    </row>
    <row r="1495" spans="1:4" x14ac:dyDescent="0.25">
      <c r="A1495" t="s">
        <v>381</v>
      </c>
      <c r="B1495" t="s">
        <v>124</v>
      </c>
      <c r="C1495" s="2">
        <f>HYPERLINK("https://svao.dolgi.msk.ru/account/1760020156/", 1760020156)</f>
        <v>1760020156</v>
      </c>
      <c r="D1495">
        <v>1399.5</v>
      </c>
    </row>
    <row r="1496" spans="1:4" x14ac:dyDescent="0.25">
      <c r="A1496" t="s">
        <v>381</v>
      </c>
      <c r="B1496" t="s">
        <v>117</v>
      </c>
      <c r="C1496" s="2">
        <f>HYPERLINK("https://svao.dolgi.msk.ru/account/1760020164/", 1760020164)</f>
        <v>1760020164</v>
      </c>
      <c r="D1496">
        <v>29375.94</v>
      </c>
    </row>
    <row r="1497" spans="1:4" x14ac:dyDescent="0.25">
      <c r="A1497" t="s">
        <v>381</v>
      </c>
      <c r="B1497" t="s">
        <v>314</v>
      </c>
      <c r="C1497" s="2">
        <f>HYPERLINK("https://svao.dolgi.msk.ru/account/1760020228/", 1760020228)</f>
        <v>1760020228</v>
      </c>
      <c r="D1497">
        <v>6998.56</v>
      </c>
    </row>
    <row r="1498" spans="1:4" x14ac:dyDescent="0.25">
      <c r="A1498" t="s">
        <v>381</v>
      </c>
      <c r="B1498" t="s">
        <v>95</v>
      </c>
      <c r="C1498" s="2">
        <f>HYPERLINK("https://svao.dolgi.msk.ru/account/1760020244/", 1760020244)</f>
        <v>1760020244</v>
      </c>
      <c r="D1498">
        <v>3119.86</v>
      </c>
    </row>
    <row r="1499" spans="1:4" x14ac:dyDescent="0.25">
      <c r="A1499" t="s">
        <v>381</v>
      </c>
      <c r="B1499" t="s">
        <v>125</v>
      </c>
      <c r="C1499" s="2">
        <f>HYPERLINK("https://svao.dolgi.msk.ru/account/1760020279/", 1760020279)</f>
        <v>1760020279</v>
      </c>
      <c r="D1499">
        <v>4124.25</v>
      </c>
    </row>
    <row r="1500" spans="1:4" x14ac:dyDescent="0.25">
      <c r="A1500" t="s">
        <v>381</v>
      </c>
      <c r="B1500" t="s">
        <v>126</v>
      </c>
      <c r="C1500" s="2">
        <f>HYPERLINK("https://svao.dolgi.msk.ru/account/1760020287/", 1760020287)</f>
        <v>1760020287</v>
      </c>
      <c r="D1500">
        <v>1145.8900000000001</v>
      </c>
    </row>
    <row r="1501" spans="1:4" x14ac:dyDescent="0.25">
      <c r="A1501" t="s">
        <v>381</v>
      </c>
      <c r="B1501" t="s">
        <v>80</v>
      </c>
      <c r="C1501" s="2">
        <f>HYPERLINK("https://svao.dolgi.msk.ru/account/1760020295/", 1760020295)</f>
        <v>1760020295</v>
      </c>
      <c r="D1501">
        <v>625.5</v>
      </c>
    </row>
    <row r="1502" spans="1:4" x14ac:dyDescent="0.25">
      <c r="A1502" t="s">
        <v>381</v>
      </c>
      <c r="B1502" t="s">
        <v>118</v>
      </c>
      <c r="C1502" s="2">
        <f>HYPERLINK("https://svao.dolgi.msk.ru/account/1760020308/", 1760020308)</f>
        <v>1760020308</v>
      </c>
      <c r="D1502">
        <v>3194.7</v>
      </c>
    </row>
    <row r="1503" spans="1:4" x14ac:dyDescent="0.25">
      <c r="A1503" t="s">
        <v>382</v>
      </c>
      <c r="B1503" t="s">
        <v>5</v>
      </c>
      <c r="C1503" s="2">
        <f>HYPERLINK("https://svao.dolgi.msk.ru/account/1760005247/", 1760005247)</f>
        <v>1760005247</v>
      </c>
      <c r="D1503">
        <v>1360.43</v>
      </c>
    </row>
    <row r="1504" spans="1:4" x14ac:dyDescent="0.25">
      <c r="A1504" t="s">
        <v>382</v>
      </c>
      <c r="B1504" t="s">
        <v>7</v>
      </c>
      <c r="C1504" s="2">
        <f>HYPERLINK("https://svao.dolgi.msk.ru/account/1760005255/", 1760005255)</f>
        <v>1760005255</v>
      </c>
      <c r="D1504">
        <v>626.54999999999995</v>
      </c>
    </row>
    <row r="1505" spans="1:4" x14ac:dyDescent="0.25">
      <c r="A1505" t="s">
        <v>382</v>
      </c>
      <c r="B1505" t="s">
        <v>101</v>
      </c>
      <c r="C1505" s="2">
        <f>HYPERLINK("https://svao.dolgi.msk.ru/account/1760005263/", 1760005263)</f>
        <v>1760005263</v>
      </c>
      <c r="D1505">
        <v>5981.86</v>
      </c>
    </row>
    <row r="1506" spans="1:4" x14ac:dyDescent="0.25">
      <c r="A1506" t="s">
        <v>382</v>
      </c>
      <c r="B1506" t="s">
        <v>141</v>
      </c>
      <c r="C1506" s="2">
        <f>HYPERLINK("https://svao.dolgi.msk.ru/account/1760005271/", 1760005271)</f>
        <v>1760005271</v>
      </c>
      <c r="D1506">
        <v>379.85</v>
      </c>
    </row>
    <row r="1507" spans="1:4" x14ac:dyDescent="0.25">
      <c r="A1507" t="s">
        <v>382</v>
      </c>
      <c r="B1507" t="s">
        <v>137</v>
      </c>
      <c r="C1507" s="2">
        <f>HYPERLINK("https://svao.dolgi.msk.ru/account/1760005378/", 1760005378)</f>
        <v>1760005378</v>
      </c>
      <c r="D1507">
        <v>3769.95</v>
      </c>
    </row>
    <row r="1508" spans="1:4" x14ac:dyDescent="0.25">
      <c r="A1508" t="s">
        <v>382</v>
      </c>
      <c r="B1508" t="s">
        <v>9</v>
      </c>
      <c r="C1508" s="2">
        <f>HYPERLINK("https://svao.dolgi.msk.ru/account/1760005386/", 1760005386)</f>
        <v>1760005386</v>
      </c>
      <c r="D1508">
        <v>932.9</v>
      </c>
    </row>
    <row r="1509" spans="1:4" x14ac:dyDescent="0.25">
      <c r="A1509" t="s">
        <v>382</v>
      </c>
      <c r="B1509" t="s">
        <v>91</v>
      </c>
      <c r="C1509" s="2">
        <f>HYPERLINK("https://svao.dolgi.msk.ru/account/1760005407/", 1760005407)</f>
        <v>1760005407</v>
      </c>
      <c r="D1509">
        <v>5939.65</v>
      </c>
    </row>
    <row r="1510" spans="1:4" x14ac:dyDescent="0.25">
      <c r="A1510" t="s">
        <v>382</v>
      </c>
      <c r="B1510" t="s">
        <v>10</v>
      </c>
      <c r="C1510" s="2">
        <f>HYPERLINK("https://svao.dolgi.msk.ru/account/1760005415/", 1760005415)</f>
        <v>1760005415</v>
      </c>
      <c r="D1510">
        <v>2018.02</v>
      </c>
    </row>
    <row r="1511" spans="1:4" x14ac:dyDescent="0.25">
      <c r="A1511" t="s">
        <v>382</v>
      </c>
      <c r="B1511" t="s">
        <v>219</v>
      </c>
      <c r="C1511" s="2">
        <f>HYPERLINK("https://svao.dolgi.msk.ru/account/1760005423/", 1760005423)</f>
        <v>1760005423</v>
      </c>
      <c r="D1511">
        <v>92025.69</v>
      </c>
    </row>
    <row r="1512" spans="1:4" x14ac:dyDescent="0.25">
      <c r="A1512" t="s">
        <v>382</v>
      </c>
      <c r="B1512" t="s">
        <v>13</v>
      </c>
      <c r="C1512" s="2">
        <f>HYPERLINK("https://svao.dolgi.msk.ru/account/1760005466/", 1760005466)</f>
        <v>1760005466</v>
      </c>
      <c r="D1512">
        <v>5181.66</v>
      </c>
    </row>
    <row r="1513" spans="1:4" x14ac:dyDescent="0.25">
      <c r="A1513" t="s">
        <v>382</v>
      </c>
      <c r="B1513" t="s">
        <v>14</v>
      </c>
      <c r="C1513" s="2">
        <f>HYPERLINK("https://svao.dolgi.msk.ru/account/1760005474/", 1760005474)</f>
        <v>1760005474</v>
      </c>
      <c r="D1513">
        <v>2539.48</v>
      </c>
    </row>
    <row r="1514" spans="1:4" x14ac:dyDescent="0.25">
      <c r="A1514" t="s">
        <v>382</v>
      </c>
      <c r="B1514" t="s">
        <v>15</v>
      </c>
      <c r="C1514" s="2">
        <f>HYPERLINK("https://svao.dolgi.msk.ru/account/1760005511/", 1760005511)</f>
        <v>1760005511</v>
      </c>
      <c r="D1514">
        <v>4945.49</v>
      </c>
    </row>
    <row r="1515" spans="1:4" x14ac:dyDescent="0.25">
      <c r="A1515" t="s">
        <v>382</v>
      </c>
      <c r="B1515" t="s">
        <v>110</v>
      </c>
      <c r="C1515" s="2">
        <f>HYPERLINK("https://svao.dolgi.msk.ru/account/1760005618/", 1760005618)</f>
        <v>1760005618</v>
      </c>
      <c r="D1515">
        <v>32257.97</v>
      </c>
    </row>
    <row r="1516" spans="1:4" x14ac:dyDescent="0.25">
      <c r="A1516" t="s">
        <v>382</v>
      </c>
      <c r="B1516" t="s">
        <v>20</v>
      </c>
      <c r="C1516" s="2">
        <f>HYPERLINK("https://svao.dolgi.msk.ru/account/1760005626/", 1760005626)</f>
        <v>1760005626</v>
      </c>
      <c r="D1516">
        <v>3555.67</v>
      </c>
    </row>
    <row r="1517" spans="1:4" x14ac:dyDescent="0.25">
      <c r="A1517" t="s">
        <v>382</v>
      </c>
      <c r="B1517" t="s">
        <v>76</v>
      </c>
      <c r="C1517" s="2">
        <f>HYPERLINK("https://svao.dolgi.msk.ru/account/1760005634/", 1760005634)</f>
        <v>1760005634</v>
      </c>
      <c r="D1517">
        <v>25287.82</v>
      </c>
    </row>
    <row r="1518" spans="1:4" x14ac:dyDescent="0.25">
      <c r="A1518" t="s">
        <v>382</v>
      </c>
      <c r="B1518" t="s">
        <v>93</v>
      </c>
      <c r="C1518" s="2">
        <f>HYPERLINK("https://svao.dolgi.msk.ru/account/1760005669/", 1760005669)</f>
        <v>1760005669</v>
      </c>
      <c r="D1518">
        <v>1586</v>
      </c>
    </row>
    <row r="1519" spans="1:4" x14ac:dyDescent="0.25">
      <c r="A1519" t="s">
        <v>382</v>
      </c>
      <c r="B1519" t="s">
        <v>112</v>
      </c>
      <c r="C1519" s="2">
        <f>HYPERLINK("https://svao.dolgi.msk.ru/account/1760005693/", 1760005693)</f>
        <v>1760005693</v>
      </c>
      <c r="D1519">
        <v>6444.3</v>
      </c>
    </row>
    <row r="1520" spans="1:4" x14ac:dyDescent="0.25">
      <c r="A1520" t="s">
        <v>382</v>
      </c>
      <c r="B1520" t="s">
        <v>21</v>
      </c>
      <c r="C1520" s="2">
        <f>HYPERLINK("https://svao.dolgi.msk.ru/account/1760005714/", 1760005714)</f>
        <v>1760005714</v>
      </c>
      <c r="D1520">
        <v>66190.080000000002</v>
      </c>
    </row>
    <row r="1521" spans="1:4" x14ac:dyDescent="0.25">
      <c r="A1521" t="s">
        <v>382</v>
      </c>
      <c r="B1521" t="s">
        <v>77</v>
      </c>
      <c r="C1521" s="2">
        <f>HYPERLINK("https://svao.dolgi.msk.ru/account/1760005722/", 1760005722)</f>
        <v>1760005722</v>
      </c>
      <c r="D1521">
        <v>6461.38</v>
      </c>
    </row>
    <row r="1522" spans="1:4" x14ac:dyDescent="0.25">
      <c r="A1522" t="s">
        <v>382</v>
      </c>
      <c r="B1522" t="s">
        <v>117</v>
      </c>
      <c r="C1522" s="2">
        <f>HYPERLINK("https://svao.dolgi.msk.ru/account/1760005829/", 1760005829)</f>
        <v>1760005829</v>
      </c>
      <c r="D1522">
        <v>10841.95</v>
      </c>
    </row>
    <row r="1523" spans="1:4" x14ac:dyDescent="0.25">
      <c r="A1523" t="s">
        <v>382</v>
      </c>
      <c r="B1523" t="s">
        <v>24</v>
      </c>
      <c r="C1523" s="2">
        <f>HYPERLINK("https://svao.dolgi.msk.ru/account/1760005853/", 1760005853)</f>
        <v>1760005853</v>
      </c>
      <c r="D1523">
        <v>2770.36</v>
      </c>
    </row>
    <row r="1524" spans="1:4" x14ac:dyDescent="0.25">
      <c r="A1524" t="s">
        <v>382</v>
      </c>
      <c r="B1524" t="s">
        <v>314</v>
      </c>
      <c r="C1524" s="2">
        <f>HYPERLINK("https://svao.dolgi.msk.ru/account/1760005861/", 1760005861)</f>
        <v>1760005861</v>
      </c>
      <c r="D1524">
        <v>3890.69</v>
      </c>
    </row>
    <row r="1525" spans="1:4" x14ac:dyDescent="0.25">
      <c r="A1525" t="s">
        <v>382</v>
      </c>
      <c r="B1525" t="s">
        <v>131</v>
      </c>
      <c r="C1525" s="2">
        <f>HYPERLINK("https://svao.dolgi.msk.ru/account/1760005909/", 1760005909)</f>
        <v>1760005909</v>
      </c>
      <c r="D1525">
        <v>4008.06</v>
      </c>
    </row>
    <row r="1526" spans="1:4" x14ac:dyDescent="0.25">
      <c r="A1526" t="s">
        <v>382</v>
      </c>
      <c r="B1526" t="s">
        <v>125</v>
      </c>
      <c r="C1526" s="2">
        <f>HYPERLINK("https://svao.dolgi.msk.ru/account/1760005917/", 1760005917)</f>
        <v>1760005917</v>
      </c>
      <c r="D1526">
        <v>5972.83</v>
      </c>
    </row>
    <row r="1527" spans="1:4" x14ac:dyDescent="0.25">
      <c r="A1527" t="s">
        <v>383</v>
      </c>
      <c r="B1527" t="s">
        <v>5</v>
      </c>
      <c r="C1527" s="2">
        <f>HYPERLINK("https://svao.dolgi.msk.ru/account/1760020332/", 1760020332)</f>
        <v>1760020332</v>
      </c>
      <c r="D1527">
        <v>4489.63</v>
      </c>
    </row>
    <row r="1528" spans="1:4" x14ac:dyDescent="0.25">
      <c r="A1528" t="s">
        <v>383</v>
      </c>
      <c r="B1528" t="s">
        <v>7</v>
      </c>
      <c r="C1528" s="2">
        <f>HYPERLINK("https://svao.dolgi.msk.ru/account/1760020359/", 1760020359)</f>
        <v>1760020359</v>
      </c>
      <c r="D1528">
        <v>8336.43</v>
      </c>
    </row>
    <row r="1529" spans="1:4" x14ac:dyDescent="0.25">
      <c r="A1529" t="s">
        <v>383</v>
      </c>
      <c r="B1529" t="s">
        <v>104</v>
      </c>
      <c r="C1529" s="2">
        <f>HYPERLINK("https://svao.dolgi.msk.ru/account/1760020439/", 1760020439)</f>
        <v>1760020439</v>
      </c>
      <c r="D1529">
        <v>1974.78</v>
      </c>
    </row>
    <row r="1530" spans="1:4" x14ac:dyDescent="0.25">
      <c r="A1530" t="s">
        <v>383</v>
      </c>
      <c r="B1530" t="s">
        <v>74</v>
      </c>
      <c r="C1530" s="2">
        <f>HYPERLINK("https://svao.dolgi.msk.ru/account/1760020455/", 1760020455)</f>
        <v>1760020455</v>
      </c>
      <c r="D1530">
        <v>399.76</v>
      </c>
    </row>
    <row r="1531" spans="1:4" x14ac:dyDescent="0.25">
      <c r="A1531" t="s">
        <v>383</v>
      </c>
      <c r="B1531" t="s">
        <v>9</v>
      </c>
      <c r="C1531" s="2">
        <f>HYPERLINK("https://svao.dolgi.msk.ru/account/1760020471/", 1760020471)</f>
        <v>1760020471</v>
      </c>
      <c r="D1531">
        <v>11856.78</v>
      </c>
    </row>
    <row r="1532" spans="1:4" x14ac:dyDescent="0.25">
      <c r="A1532" t="s">
        <v>383</v>
      </c>
      <c r="B1532" t="s">
        <v>10</v>
      </c>
      <c r="C1532" s="2">
        <f>HYPERLINK("https://svao.dolgi.msk.ru/account/1760020527/", 1760020527)</f>
        <v>1760020527</v>
      </c>
      <c r="D1532">
        <v>10389.61</v>
      </c>
    </row>
    <row r="1533" spans="1:4" x14ac:dyDescent="0.25">
      <c r="A1533" t="s">
        <v>383</v>
      </c>
      <c r="B1533" t="s">
        <v>15</v>
      </c>
      <c r="C1533" s="2">
        <f>HYPERLINK("https://svao.dolgi.msk.ru/account/1760020615/", 1760020615)</f>
        <v>1760020615</v>
      </c>
      <c r="D1533">
        <v>5635.41</v>
      </c>
    </row>
    <row r="1534" spans="1:4" x14ac:dyDescent="0.25">
      <c r="A1534" t="s">
        <v>383</v>
      </c>
      <c r="B1534" t="s">
        <v>16</v>
      </c>
      <c r="C1534" s="2">
        <f>HYPERLINK("https://svao.dolgi.msk.ru/account/1760020631/", 1760020631)</f>
        <v>1760020631</v>
      </c>
      <c r="D1534">
        <v>3631.3</v>
      </c>
    </row>
    <row r="1535" spans="1:4" x14ac:dyDescent="0.25">
      <c r="A1535" t="s">
        <v>383</v>
      </c>
      <c r="B1535" t="s">
        <v>20</v>
      </c>
      <c r="C1535" s="2">
        <f>HYPERLINK("https://svao.dolgi.msk.ru/account/1760020711/", 1760020711)</f>
        <v>1760020711</v>
      </c>
      <c r="D1535">
        <v>2314.9299999999998</v>
      </c>
    </row>
    <row r="1536" spans="1:4" x14ac:dyDescent="0.25">
      <c r="A1536" t="s">
        <v>383</v>
      </c>
      <c r="B1536" t="s">
        <v>76</v>
      </c>
      <c r="C1536" s="2">
        <f>HYPERLINK("https://svao.dolgi.msk.ru/account/1760020738/", 1760020738)</f>
        <v>1760020738</v>
      </c>
      <c r="D1536">
        <v>4334.21</v>
      </c>
    </row>
    <row r="1537" spans="1:4" x14ac:dyDescent="0.25">
      <c r="A1537" t="s">
        <v>383</v>
      </c>
      <c r="B1537" t="s">
        <v>92</v>
      </c>
      <c r="C1537" s="2">
        <f>HYPERLINK("https://svao.dolgi.msk.ru/account/1760020746/", 1760020746)</f>
        <v>1760020746</v>
      </c>
      <c r="D1537">
        <v>5153.07</v>
      </c>
    </row>
    <row r="1538" spans="1:4" x14ac:dyDescent="0.25">
      <c r="A1538" t="s">
        <v>383</v>
      </c>
      <c r="B1538" t="s">
        <v>93</v>
      </c>
      <c r="C1538" s="2">
        <f>HYPERLINK("https://svao.dolgi.msk.ru/account/1760020754/", 1760020754)</f>
        <v>1760020754</v>
      </c>
      <c r="D1538">
        <v>2057.9</v>
      </c>
    </row>
    <row r="1539" spans="1:4" x14ac:dyDescent="0.25">
      <c r="A1539" t="s">
        <v>383</v>
      </c>
      <c r="B1539" t="s">
        <v>111</v>
      </c>
      <c r="C1539" s="2">
        <f>HYPERLINK("https://svao.dolgi.msk.ru/account/1760020762/", 1760020762)</f>
        <v>1760020762</v>
      </c>
      <c r="D1539">
        <v>97103.25</v>
      </c>
    </row>
    <row r="1540" spans="1:4" x14ac:dyDescent="0.25">
      <c r="A1540" t="s">
        <v>383</v>
      </c>
      <c r="B1540" t="s">
        <v>111</v>
      </c>
      <c r="C1540" s="2">
        <f>HYPERLINK("https://svao.dolgi.msk.ru/account/1761793791/", 1761793791)</f>
        <v>1761793791</v>
      </c>
      <c r="D1540">
        <v>120330.61</v>
      </c>
    </row>
    <row r="1541" spans="1:4" x14ac:dyDescent="0.25">
      <c r="A1541" t="s">
        <v>383</v>
      </c>
      <c r="B1541" t="s">
        <v>111</v>
      </c>
      <c r="C1541" s="2">
        <f>HYPERLINK("https://svao.dolgi.msk.ru/account/1761793804/", 1761793804)</f>
        <v>1761793804</v>
      </c>
      <c r="D1541">
        <v>136671.10999999999</v>
      </c>
    </row>
    <row r="1542" spans="1:4" x14ac:dyDescent="0.25">
      <c r="A1542" t="s">
        <v>383</v>
      </c>
      <c r="B1542" t="s">
        <v>111</v>
      </c>
      <c r="C1542" s="2">
        <f>HYPERLINK("https://svao.dolgi.msk.ru/account/1761793812/", 1761793812)</f>
        <v>1761793812</v>
      </c>
      <c r="D1542">
        <v>187596.74</v>
      </c>
    </row>
    <row r="1543" spans="1:4" x14ac:dyDescent="0.25">
      <c r="A1543" t="s">
        <v>383</v>
      </c>
      <c r="B1543" t="s">
        <v>111</v>
      </c>
      <c r="C1543" s="2">
        <f>HYPERLINK("https://svao.dolgi.msk.ru/account/1761793839/", 1761793839)</f>
        <v>1761793839</v>
      </c>
      <c r="D1543">
        <v>136670.91</v>
      </c>
    </row>
    <row r="1544" spans="1:4" x14ac:dyDescent="0.25">
      <c r="A1544" t="s">
        <v>383</v>
      </c>
      <c r="B1544" t="s">
        <v>111</v>
      </c>
      <c r="C1544" s="2">
        <f>HYPERLINK("https://svao.dolgi.msk.ru/account/1761793847/", 1761793847)</f>
        <v>1761793847</v>
      </c>
      <c r="D1544">
        <v>136670.85999999999</v>
      </c>
    </row>
    <row r="1545" spans="1:4" x14ac:dyDescent="0.25">
      <c r="A1545" t="s">
        <v>383</v>
      </c>
      <c r="B1545" t="s">
        <v>113</v>
      </c>
      <c r="C1545" s="2">
        <f>HYPERLINK("https://svao.dolgi.msk.ru/account/1761790144/", 1761790144)</f>
        <v>1761790144</v>
      </c>
      <c r="D1545">
        <v>100.26</v>
      </c>
    </row>
    <row r="1546" spans="1:4" x14ac:dyDescent="0.25">
      <c r="A1546" t="s">
        <v>383</v>
      </c>
      <c r="B1546" t="s">
        <v>21</v>
      </c>
      <c r="C1546" s="2">
        <f>HYPERLINK("https://svao.dolgi.msk.ru/account/1760020826/", 1760020826)</f>
        <v>1760020826</v>
      </c>
      <c r="D1546">
        <v>7047.4</v>
      </c>
    </row>
    <row r="1547" spans="1:4" x14ac:dyDescent="0.25">
      <c r="A1547" t="s">
        <v>383</v>
      </c>
      <c r="B1547" t="s">
        <v>114</v>
      </c>
      <c r="C1547" s="2">
        <f>HYPERLINK("https://svao.dolgi.msk.ru/account/1760020842/", 1760020842)</f>
        <v>1760020842</v>
      </c>
      <c r="D1547">
        <v>2446.39</v>
      </c>
    </row>
    <row r="1548" spans="1:4" x14ac:dyDescent="0.25">
      <c r="A1548" t="s">
        <v>383</v>
      </c>
      <c r="B1548" t="s">
        <v>22</v>
      </c>
      <c r="C1548" s="2">
        <f>HYPERLINK("https://svao.dolgi.msk.ru/account/1760020877/", 1760020877)</f>
        <v>1760020877</v>
      </c>
      <c r="D1548">
        <v>7446.23</v>
      </c>
    </row>
    <row r="1549" spans="1:4" x14ac:dyDescent="0.25">
      <c r="A1549" t="s">
        <v>383</v>
      </c>
      <c r="B1549" t="s">
        <v>23</v>
      </c>
      <c r="C1549" s="2">
        <f>HYPERLINK("https://svao.dolgi.msk.ru/account/1760020893/", 1760020893)</f>
        <v>1760020893</v>
      </c>
      <c r="D1549">
        <v>2093.5700000000002</v>
      </c>
    </row>
    <row r="1550" spans="1:4" x14ac:dyDescent="0.25">
      <c r="A1550" t="s">
        <v>383</v>
      </c>
      <c r="B1550" t="s">
        <v>117</v>
      </c>
      <c r="C1550" s="2">
        <f>HYPERLINK("https://svao.dolgi.msk.ru/account/1760020914/", 1760020914)</f>
        <v>1760020914</v>
      </c>
      <c r="D1550">
        <v>6133.46</v>
      </c>
    </row>
    <row r="1551" spans="1:4" x14ac:dyDescent="0.25">
      <c r="A1551" t="s">
        <v>383</v>
      </c>
      <c r="B1551" t="s">
        <v>320</v>
      </c>
      <c r="C1551" s="2">
        <f>HYPERLINK("https://svao.dolgi.msk.ru/account/1760020949/", 1760020949)</f>
        <v>1760020949</v>
      </c>
      <c r="D1551">
        <v>140.82</v>
      </c>
    </row>
    <row r="1552" spans="1:4" x14ac:dyDescent="0.25">
      <c r="A1552" t="s">
        <v>383</v>
      </c>
      <c r="B1552" t="s">
        <v>24</v>
      </c>
      <c r="C1552" s="2">
        <f>HYPERLINK("https://svao.dolgi.msk.ru/account/1760020957/", 1760020957)</f>
        <v>1760020957</v>
      </c>
      <c r="D1552">
        <v>3585.7</v>
      </c>
    </row>
    <row r="1553" spans="1:4" x14ac:dyDescent="0.25">
      <c r="A1553" t="s">
        <v>383</v>
      </c>
      <c r="B1553" t="s">
        <v>95</v>
      </c>
      <c r="C1553" s="2">
        <f>HYPERLINK("https://svao.dolgi.msk.ru/account/1760020981/", 1760020981)</f>
        <v>1760020981</v>
      </c>
      <c r="D1553">
        <v>8440.84</v>
      </c>
    </row>
    <row r="1554" spans="1:4" x14ac:dyDescent="0.25">
      <c r="A1554" t="s">
        <v>383</v>
      </c>
      <c r="B1554" t="s">
        <v>80</v>
      </c>
      <c r="C1554" s="2">
        <f>HYPERLINK("https://svao.dolgi.msk.ru/account/1760021044/", 1760021044)</f>
        <v>1760021044</v>
      </c>
      <c r="D1554">
        <v>325.8</v>
      </c>
    </row>
    <row r="1555" spans="1:4" x14ac:dyDescent="0.25">
      <c r="A1555" t="s">
        <v>384</v>
      </c>
      <c r="B1555" t="s">
        <v>6</v>
      </c>
      <c r="C1555" s="2">
        <f>HYPERLINK("https://svao.dolgi.msk.ru/account/1760013327/", 1760013327)</f>
        <v>1760013327</v>
      </c>
      <c r="D1555">
        <v>2894.31</v>
      </c>
    </row>
    <row r="1556" spans="1:4" x14ac:dyDescent="0.25">
      <c r="A1556" t="s">
        <v>384</v>
      </c>
      <c r="B1556" t="s">
        <v>7</v>
      </c>
      <c r="C1556" s="2">
        <f>HYPERLINK("https://svao.dolgi.msk.ru/account/1760013351/", 1760013351)</f>
        <v>1760013351</v>
      </c>
      <c r="D1556">
        <v>4499.12</v>
      </c>
    </row>
    <row r="1557" spans="1:4" x14ac:dyDescent="0.25">
      <c r="A1557" t="s">
        <v>384</v>
      </c>
      <c r="B1557" t="s">
        <v>102</v>
      </c>
      <c r="C1557" s="2">
        <f>HYPERLINK("https://svao.dolgi.msk.ru/account/1760013394/", 1760013394)</f>
        <v>1760013394</v>
      </c>
      <c r="D1557">
        <v>3319.25</v>
      </c>
    </row>
    <row r="1558" spans="1:4" x14ac:dyDescent="0.25">
      <c r="A1558" t="s">
        <v>384</v>
      </c>
      <c r="B1558" t="s">
        <v>103</v>
      </c>
      <c r="C1558" s="2">
        <f>HYPERLINK("https://svao.dolgi.msk.ru/account/1760013407/", 1760013407)</f>
        <v>1760013407</v>
      </c>
      <c r="D1558">
        <v>2545.96</v>
      </c>
    </row>
    <row r="1559" spans="1:4" x14ac:dyDescent="0.25">
      <c r="A1559" t="s">
        <v>384</v>
      </c>
      <c r="B1559" t="s">
        <v>137</v>
      </c>
      <c r="C1559" s="2">
        <f>HYPERLINK("https://svao.dolgi.msk.ru/account/1760013466/", 1760013466)</f>
        <v>1760013466</v>
      </c>
      <c r="D1559">
        <v>4013.59</v>
      </c>
    </row>
    <row r="1560" spans="1:4" x14ac:dyDescent="0.25">
      <c r="A1560" t="s">
        <v>384</v>
      </c>
      <c r="B1560" t="s">
        <v>9</v>
      </c>
      <c r="C1560" s="2">
        <f>HYPERLINK("https://svao.dolgi.msk.ru/account/1760013474/", 1760013474)</f>
        <v>1760013474</v>
      </c>
      <c r="D1560">
        <v>4322.43</v>
      </c>
    </row>
    <row r="1561" spans="1:4" x14ac:dyDescent="0.25">
      <c r="A1561" t="s">
        <v>384</v>
      </c>
      <c r="B1561" t="s">
        <v>75</v>
      </c>
      <c r="C1561" s="2">
        <f>HYPERLINK("https://svao.dolgi.msk.ru/account/1760013482/", 1760013482)</f>
        <v>1760013482</v>
      </c>
      <c r="D1561">
        <v>2406.2199999999998</v>
      </c>
    </row>
    <row r="1562" spans="1:4" x14ac:dyDescent="0.25">
      <c r="A1562" t="s">
        <v>384</v>
      </c>
      <c r="B1562" t="s">
        <v>10</v>
      </c>
      <c r="C1562" s="2">
        <f>HYPERLINK("https://svao.dolgi.msk.ru/account/1760013511/", 1760013511)</f>
        <v>1760013511</v>
      </c>
      <c r="D1562">
        <v>689.57</v>
      </c>
    </row>
    <row r="1563" spans="1:4" x14ac:dyDescent="0.25">
      <c r="A1563" t="s">
        <v>384</v>
      </c>
      <c r="B1563" t="s">
        <v>12</v>
      </c>
      <c r="C1563" s="2">
        <f>HYPERLINK("https://svao.dolgi.msk.ru/account/1760013554/", 1760013554)</f>
        <v>1760013554</v>
      </c>
      <c r="D1563">
        <v>504.57</v>
      </c>
    </row>
    <row r="1564" spans="1:4" x14ac:dyDescent="0.25">
      <c r="A1564" t="s">
        <v>384</v>
      </c>
      <c r="B1564" t="s">
        <v>18</v>
      </c>
      <c r="C1564" s="2">
        <f>HYPERLINK("https://svao.dolgi.msk.ru/account/1760013677/", 1760013677)</f>
        <v>1760013677</v>
      </c>
      <c r="D1564">
        <v>10031.66</v>
      </c>
    </row>
    <row r="1565" spans="1:4" x14ac:dyDescent="0.25">
      <c r="A1565" t="s">
        <v>384</v>
      </c>
      <c r="B1565" t="s">
        <v>19</v>
      </c>
      <c r="C1565" s="2">
        <f>HYPERLINK("https://svao.dolgi.msk.ru/account/1760013685/", 1760013685)</f>
        <v>1760013685</v>
      </c>
      <c r="D1565">
        <v>2775.08</v>
      </c>
    </row>
    <row r="1566" spans="1:4" x14ac:dyDescent="0.25">
      <c r="A1566" t="s">
        <v>384</v>
      </c>
      <c r="B1566" t="s">
        <v>320</v>
      </c>
      <c r="C1566" s="2">
        <f>HYPERLINK("https://svao.dolgi.msk.ru/account/1760013933/", 1760013933)</f>
        <v>1760013933</v>
      </c>
      <c r="D1566">
        <v>2114.9499999999998</v>
      </c>
    </row>
    <row r="1567" spans="1:4" x14ac:dyDescent="0.25">
      <c r="A1567" t="s">
        <v>384</v>
      </c>
      <c r="B1567" t="s">
        <v>80</v>
      </c>
      <c r="C1567" s="2">
        <f>HYPERLINK("https://svao.dolgi.msk.ru/account/1760014039/", 1760014039)</f>
        <v>1760014039</v>
      </c>
      <c r="D1567">
        <v>9410.73</v>
      </c>
    </row>
    <row r="1568" spans="1:4" x14ac:dyDescent="0.25">
      <c r="A1568" t="s">
        <v>384</v>
      </c>
      <c r="B1568" t="s">
        <v>133</v>
      </c>
      <c r="C1568" s="2">
        <f>HYPERLINK("https://svao.dolgi.msk.ru/account/1760014186/", 1760014186)</f>
        <v>1760014186</v>
      </c>
      <c r="D1568">
        <v>4595.26</v>
      </c>
    </row>
    <row r="1569" spans="1:4" x14ac:dyDescent="0.25">
      <c r="A1569" t="s">
        <v>385</v>
      </c>
      <c r="B1569" t="s">
        <v>6</v>
      </c>
      <c r="C1569" s="2">
        <f>HYPERLINK("https://svao.dolgi.msk.ru/account/1760007728/", 1760007728)</f>
        <v>1760007728</v>
      </c>
      <c r="D1569">
        <v>5596.08</v>
      </c>
    </row>
    <row r="1570" spans="1:4" x14ac:dyDescent="0.25">
      <c r="A1570" t="s">
        <v>385</v>
      </c>
      <c r="B1570" t="s">
        <v>41</v>
      </c>
      <c r="C1570" s="2">
        <f>HYPERLINK("https://svao.dolgi.msk.ru/account/1760007736/", 1760007736)</f>
        <v>1760007736</v>
      </c>
      <c r="D1570">
        <v>3931.06</v>
      </c>
    </row>
    <row r="1571" spans="1:4" x14ac:dyDescent="0.25">
      <c r="A1571" t="s">
        <v>385</v>
      </c>
      <c r="B1571" t="s">
        <v>5</v>
      </c>
      <c r="C1571" s="2">
        <f>HYPERLINK("https://svao.dolgi.msk.ru/account/1760007752/", 1760007752)</f>
        <v>1760007752</v>
      </c>
      <c r="D1571">
        <v>3127.71</v>
      </c>
    </row>
    <row r="1572" spans="1:4" x14ac:dyDescent="0.25">
      <c r="A1572" t="s">
        <v>385</v>
      </c>
      <c r="B1572" t="s">
        <v>73</v>
      </c>
      <c r="C1572" s="2">
        <f>HYPERLINK("https://svao.dolgi.msk.ru/account/1760007824/", 1760007824)</f>
        <v>1760007824</v>
      </c>
      <c r="D1572">
        <v>2785.2</v>
      </c>
    </row>
    <row r="1573" spans="1:4" x14ac:dyDescent="0.25">
      <c r="A1573" t="s">
        <v>385</v>
      </c>
      <c r="B1573" t="s">
        <v>104</v>
      </c>
      <c r="C1573" s="2">
        <f>HYPERLINK("https://svao.dolgi.msk.ru/account/1760007832/", 1760007832)</f>
        <v>1760007832</v>
      </c>
      <c r="D1573">
        <v>2502.1999999999998</v>
      </c>
    </row>
    <row r="1574" spans="1:4" x14ac:dyDescent="0.25">
      <c r="A1574" t="s">
        <v>385</v>
      </c>
      <c r="B1574" t="s">
        <v>8</v>
      </c>
      <c r="C1574" s="2">
        <f>HYPERLINK("https://svao.dolgi.msk.ru/account/1760007859/", 1760007859)</f>
        <v>1760007859</v>
      </c>
      <c r="D1574">
        <v>520.49</v>
      </c>
    </row>
    <row r="1575" spans="1:4" x14ac:dyDescent="0.25">
      <c r="A1575" t="s">
        <v>385</v>
      </c>
      <c r="B1575" t="s">
        <v>137</v>
      </c>
      <c r="C1575" s="2">
        <f>HYPERLINK("https://svao.dolgi.msk.ru/account/1760007875/", 1760007875)</f>
        <v>1760007875</v>
      </c>
      <c r="D1575">
        <v>12537.67</v>
      </c>
    </row>
    <row r="1576" spans="1:4" x14ac:dyDescent="0.25">
      <c r="A1576" t="s">
        <v>385</v>
      </c>
      <c r="B1576" t="s">
        <v>9</v>
      </c>
      <c r="C1576" s="2">
        <f>HYPERLINK("https://svao.dolgi.msk.ru/account/1760007883/", 1760007883)</f>
        <v>1760007883</v>
      </c>
      <c r="D1576">
        <v>3171.14</v>
      </c>
    </row>
    <row r="1577" spans="1:4" x14ac:dyDescent="0.25">
      <c r="A1577" t="s">
        <v>385</v>
      </c>
      <c r="B1577" t="s">
        <v>75</v>
      </c>
      <c r="C1577" s="2">
        <f>HYPERLINK("https://svao.dolgi.msk.ru/account/1760007904/", 1760007904)</f>
        <v>1760007904</v>
      </c>
      <c r="D1577">
        <v>2966.93</v>
      </c>
    </row>
    <row r="1578" spans="1:4" x14ac:dyDescent="0.25">
      <c r="A1578" t="s">
        <v>385</v>
      </c>
      <c r="B1578" t="s">
        <v>10</v>
      </c>
      <c r="C1578" s="2">
        <f>HYPERLINK("https://svao.dolgi.msk.ru/account/1760007939/", 1760007939)</f>
        <v>1760007939</v>
      </c>
      <c r="D1578">
        <v>155067.47</v>
      </c>
    </row>
    <row r="1579" spans="1:4" x14ac:dyDescent="0.25">
      <c r="A1579" t="s">
        <v>385</v>
      </c>
      <c r="B1579" t="s">
        <v>219</v>
      </c>
      <c r="C1579" s="2">
        <f>HYPERLINK("https://svao.dolgi.msk.ru/account/1760007947/", 1760007947)</f>
        <v>1760007947</v>
      </c>
      <c r="D1579">
        <v>7294.36</v>
      </c>
    </row>
    <row r="1580" spans="1:4" x14ac:dyDescent="0.25">
      <c r="A1580" t="s">
        <v>385</v>
      </c>
      <c r="B1580" t="s">
        <v>108</v>
      </c>
      <c r="C1580" s="2">
        <f>HYPERLINK("https://svao.dolgi.msk.ru/account/1760008042/", 1760008042)</f>
        <v>1760008042</v>
      </c>
      <c r="D1580">
        <v>7778.16</v>
      </c>
    </row>
    <row r="1581" spans="1:4" x14ac:dyDescent="0.25">
      <c r="A1581" t="s">
        <v>385</v>
      </c>
      <c r="B1581" t="s">
        <v>16</v>
      </c>
      <c r="C1581" s="2">
        <f>HYPERLINK("https://svao.dolgi.msk.ru/account/1760008069/", 1760008069)</f>
        <v>1760008069</v>
      </c>
      <c r="D1581">
        <v>4135.6000000000004</v>
      </c>
    </row>
    <row r="1582" spans="1:4" x14ac:dyDescent="0.25">
      <c r="A1582" t="s">
        <v>385</v>
      </c>
      <c r="B1582" t="s">
        <v>19</v>
      </c>
      <c r="C1582" s="2">
        <f>HYPERLINK("https://svao.dolgi.msk.ru/account/1760008093/", 1760008093)</f>
        <v>1760008093</v>
      </c>
      <c r="D1582">
        <v>10115.32</v>
      </c>
    </row>
    <row r="1583" spans="1:4" x14ac:dyDescent="0.25">
      <c r="A1583" t="s">
        <v>385</v>
      </c>
      <c r="B1583" t="s">
        <v>20</v>
      </c>
      <c r="C1583" s="2">
        <f>HYPERLINK("https://svao.dolgi.msk.ru/account/1760008122/", 1760008122)</f>
        <v>1760008122</v>
      </c>
      <c r="D1583">
        <v>8530.11</v>
      </c>
    </row>
    <row r="1584" spans="1:4" x14ac:dyDescent="0.25">
      <c r="A1584" t="s">
        <v>385</v>
      </c>
      <c r="B1584" t="s">
        <v>94</v>
      </c>
      <c r="C1584" s="2">
        <f>HYPERLINK("https://svao.dolgi.msk.ru/account/1760271211/", 1760271211)</f>
        <v>1760271211</v>
      </c>
      <c r="D1584">
        <v>128.18</v>
      </c>
    </row>
    <row r="1585" spans="1:4" x14ac:dyDescent="0.25">
      <c r="A1585" t="s">
        <v>385</v>
      </c>
      <c r="B1585" t="s">
        <v>112</v>
      </c>
      <c r="C1585" s="2">
        <f>HYPERLINK("https://svao.dolgi.msk.ru/account/1760008202/", 1760008202)</f>
        <v>1760008202</v>
      </c>
      <c r="D1585">
        <v>569.17999999999995</v>
      </c>
    </row>
    <row r="1586" spans="1:4" x14ac:dyDescent="0.25">
      <c r="A1586" t="s">
        <v>385</v>
      </c>
      <c r="B1586" t="s">
        <v>113</v>
      </c>
      <c r="C1586" s="2">
        <f>HYPERLINK("https://svao.dolgi.msk.ru/account/1760008229/", 1760008229)</f>
        <v>1760008229</v>
      </c>
      <c r="D1586">
        <v>861</v>
      </c>
    </row>
    <row r="1587" spans="1:4" x14ac:dyDescent="0.25">
      <c r="A1587" t="s">
        <v>385</v>
      </c>
      <c r="B1587" t="s">
        <v>79</v>
      </c>
      <c r="C1587" s="2">
        <f>HYPERLINK("https://svao.dolgi.msk.ru/account/1760008309/", 1760008309)</f>
        <v>1760008309</v>
      </c>
      <c r="D1587">
        <v>2935.09</v>
      </c>
    </row>
    <row r="1588" spans="1:4" x14ac:dyDescent="0.25">
      <c r="A1588" t="s">
        <v>385</v>
      </c>
      <c r="B1588" t="s">
        <v>124</v>
      </c>
      <c r="C1588" s="2">
        <f>HYPERLINK("https://svao.dolgi.msk.ru/account/1760008325/", 1760008325)</f>
        <v>1760008325</v>
      </c>
      <c r="D1588">
        <v>1710</v>
      </c>
    </row>
    <row r="1589" spans="1:4" x14ac:dyDescent="0.25">
      <c r="A1589" t="s">
        <v>385</v>
      </c>
      <c r="B1589" t="s">
        <v>117</v>
      </c>
      <c r="C1589" s="2">
        <f>HYPERLINK("https://svao.dolgi.msk.ru/account/1760008333/", 1760008333)</f>
        <v>1760008333</v>
      </c>
      <c r="D1589">
        <v>2626.92</v>
      </c>
    </row>
    <row r="1590" spans="1:4" x14ac:dyDescent="0.25">
      <c r="A1590" t="s">
        <v>385</v>
      </c>
      <c r="B1590" t="s">
        <v>24</v>
      </c>
      <c r="C1590" s="2">
        <f>HYPERLINK("https://svao.dolgi.msk.ru/account/1760008376/", 1760008376)</f>
        <v>1760008376</v>
      </c>
      <c r="D1590">
        <v>2723.22</v>
      </c>
    </row>
    <row r="1591" spans="1:4" x14ac:dyDescent="0.25">
      <c r="A1591" t="s">
        <v>385</v>
      </c>
      <c r="B1591" t="s">
        <v>95</v>
      </c>
      <c r="C1591" s="2">
        <f>HYPERLINK("https://svao.dolgi.msk.ru/account/1760008405/", 1760008405)</f>
        <v>1760008405</v>
      </c>
      <c r="D1591">
        <v>2443.2800000000002</v>
      </c>
    </row>
    <row r="1592" spans="1:4" x14ac:dyDescent="0.25">
      <c r="A1592" t="s">
        <v>385</v>
      </c>
      <c r="B1592" t="s">
        <v>131</v>
      </c>
      <c r="C1592" s="2">
        <f>HYPERLINK("https://svao.dolgi.msk.ru/account/1760008413/", 1760008413)</f>
        <v>1760008413</v>
      </c>
      <c r="D1592">
        <v>3589.04</v>
      </c>
    </row>
    <row r="1593" spans="1:4" x14ac:dyDescent="0.25">
      <c r="A1593" t="s">
        <v>385</v>
      </c>
      <c r="B1593" t="s">
        <v>126</v>
      </c>
      <c r="C1593" s="2">
        <f>HYPERLINK("https://svao.dolgi.msk.ru/account/1760008448/", 1760008448)</f>
        <v>1760008448</v>
      </c>
      <c r="D1593">
        <v>19492.93</v>
      </c>
    </row>
    <row r="1594" spans="1:4" x14ac:dyDescent="0.25">
      <c r="A1594" t="s">
        <v>385</v>
      </c>
      <c r="B1594" t="s">
        <v>80</v>
      </c>
      <c r="C1594" s="2">
        <f>HYPERLINK("https://svao.dolgi.msk.ru/account/1760008456/", 1760008456)</f>
        <v>1760008456</v>
      </c>
      <c r="D1594">
        <v>14718.05</v>
      </c>
    </row>
    <row r="1595" spans="1:4" x14ac:dyDescent="0.25">
      <c r="A1595" t="s">
        <v>385</v>
      </c>
      <c r="B1595" t="s">
        <v>118</v>
      </c>
      <c r="C1595" s="2">
        <f>HYPERLINK("https://svao.dolgi.msk.ru/account/1760008464/", 1760008464)</f>
        <v>1760008464</v>
      </c>
      <c r="D1595">
        <v>203949.11</v>
      </c>
    </row>
    <row r="1596" spans="1:4" x14ac:dyDescent="0.25">
      <c r="A1596" t="s">
        <v>385</v>
      </c>
      <c r="B1596" t="s">
        <v>81</v>
      </c>
      <c r="C1596" s="2">
        <f>HYPERLINK("https://svao.dolgi.msk.ru/account/1760008499/", 1760008499)</f>
        <v>1760008499</v>
      </c>
      <c r="D1596">
        <v>170.16</v>
      </c>
    </row>
    <row r="1597" spans="1:4" x14ac:dyDescent="0.25">
      <c r="A1597" t="s">
        <v>385</v>
      </c>
      <c r="B1597" t="s">
        <v>82</v>
      </c>
      <c r="C1597" s="2">
        <f>HYPERLINK("https://svao.dolgi.msk.ru/account/1760008536/", 1760008536)</f>
        <v>1760008536</v>
      </c>
      <c r="D1597">
        <v>649.5</v>
      </c>
    </row>
    <row r="1598" spans="1:4" x14ac:dyDescent="0.25">
      <c r="A1598" t="s">
        <v>385</v>
      </c>
      <c r="B1598" t="s">
        <v>128</v>
      </c>
      <c r="C1598" s="2">
        <f>HYPERLINK("https://svao.dolgi.msk.ru/account/1760008544/", 1760008544)</f>
        <v>1760008544</v>
      </c>
      <c r="D1598">
        <v>100406.82</v>
      </c>
    </row>
    <row r="1599" spans="1:4" x14ac:dyDescent="0.25">
      <c r="A1599" t="s">
        <v>385</v>
      </c>
      <c r="B1599" t="s">
        <v>128</v>
      </c>
      <c r="C1599" s="2">
        <f>HYPERLINK("https://svao.dolgi.msk.ru/account/1760008552/", 1760008552)</f>
        <v>1760008552</v>
      </c>
      <c r="D1599">
        <v>1561.64</v>
      </c>
    </row>
    <row r="1600" spans="1:4" x14ac:dyDescent="0.25">
      <c r="A1600" t="s">
        <v>385</v>
      </c>
      <c r="B1600" t="s">
        <v>133</v>
      </c>
      <c r="C1600" s="2">
        <f>HYPERLINK("https://svao.dolgi.msk.ru/account/1760008616/", 1760008616)</f>
        <v>1760008616</v>
      </c>
      <c r="D1600">
        <v>4718.18</v>
      </c>
    </row>
    <row r="1601" spans="1:4" x14ac:dyDescent="0.25">
      <c r="A1601" t="s">
        <v>385</v>
      </c>
      <c r="B1601" t="s">
        <v>27</v>
      </c>
      <c r="C1601" s="2">
        <f>HYPERLINK("https://svao.dolgi.msk.ru/account/1760008632/", 1760008632)</f>
        <v>1760008632</v>
      </c>
      <c r="D1601">
        <v>7124.37</v>
      </c>
    </row>
    <row r="1602" spans="1:4" x14ac:dyDescent="0.25">
      <c r="A1602" t="s">
        <v>385</v>
      </c>
      <c r="B1602" t="s">
        <v>243</v>
      </c>
      <c r="C1602" s="2">
        <f>HYPERLINK("https://svao.dolgi.msk.ru/account/1760008667/", 1760008667)</f>
        <v>1760008667</v>
      </c>
      <c r="D1602">
        <v>2892.2</v>
      </c>
    </row>
    <row r="1603" spans="1:4" x14ac:dyDescent="0.25">
      <c r="A1603" t="s">
        <v>385</v>
      </c>
      <c r="B1603" t="s">
        <v>134</v>
      </c>
      <c r="C1603" s="2">
        <f>HYPERLINK("https://svao.dolgi.msk.ru/account/1760278894/", 1760278894)</f>
        <v>1760278894</v>
      </c>
      <c r="D1603">
        <v>6230.76</v>
      </c>
    </row>
    <row r="1604" spans="1:4" x14ac:dyDescent="0.25">
      <c r="A1604" t="s">
        <v>385</v>
      </c>
      <c r="B1604" t="s">
        <v>29</v>
      </c>
      <c r="C1604" s="2">
        <f>HYPERLINK("https://svao.dolgi.msk.ru/account/1760008712/", 1760008712)</f>
        <v>1760008712</v>
      </c>
      <c r="D1604">
        <v>32089.27</v>
      </c>
    </row>
    <row r="1605" spans="1:4" x14ac:dyDescent="0.25">
      <c r="A1605" t="s">
        <v>386</v>
      </c>
      <c r="B1605" t="s">
        <v>41</v>
      </c>
      <c r="C1605" s="2">
        <f>HYPERLINK("https://svao.dolgi.msk.ru/account/1760006856/", 1760006856)</f>
        <v>1760006856</v>
      </c>
      <c r="D1605">
        <v>16242.14</v>
      </c>
    </row>
    <row r="1606" spans="1:4" x14ac:dyDescent="0.25">
      <c r="A1606" t="s">
        <v>386</v>
      </c>
      <c r="B1606" t="s">
        <v>7</v>
      </c>
      <c r="C1606" s="2">
        <f>HYPERLINK("https://svao.dolgi.msk.ru/account/1760006872/", 1760006872)</f>
        <v>1760006872</v>
      </c>
      <c r="D1606">
        <v>33755.370000000003</v>
      </c>
    </row>
    <row r="1607" spans="1:4" x14ac:dyDescent="0.25">
      <c r="A1607" t="s">
        <v>386</v>
      </c>
      <c r="B1607" t="s">
        <v>141</v>
      </c>
      <c r="C1607" s="2">
        <f>HYPERLINK("https://svao.dolgi.msk.ru/account/1760006901/", 1760006901)</f>
        <v>1760006901</v>
      </c>
      <c r="D1607">
        <v>5447.71</v>
      </c>
    </row>
    <row r="1608" spans="1:4" x14ac:dyDescent="0.25">
      <c r="A1608" t="s">
        <v>386</v>
      </c>
      <c r="B1608" t="s">
        <v>102</v>
      </c>
      <c r="C1608" s="2">
        <f>HYPERLINK("https://svao.dolgi.msk.ru/account/1760006928/", 1760006928)</f>
        <v>1760006928</v>
      </c>
      <c r="D1608">
        <v>19404.02</v>
      </c>
    </row>
    <row r="1609" spans="1:4" x14ac:dyDescent="0.25">
      <c r="A1609" t="s">
        <v>386</v>
      </c>
      <c r="B1609" t="s">
        <v>137</v>
      </c>
      <c r="C1609" s="2">
        <f>HYPERLINK("https://svao.dolgi.msk.ru/account/1760006995/", 1760006995)</f>
        <v>1760006995</v>
      </c>
      <c r="D1609">
        <v>1101.45</v>
      </c>
    </row>
    <row r="1610" spans="1:4" x14ac:dyDescent="0.25">
      <c r="A1610" t="s">
        <v>386</v>
      </c>
      <c r="B1610" t="s">
        <v>75</v>
      </c>
      <c r="C1610" s="2">
        <f>HYPERLINK("https://svao.dolgi.msk.ru/account/1760007015/", 1760007015)</f>
        <v>1760007015</v>
      </c>
      <c r="D1610">
        <v>3737.84</v>
      </c>
    </row>
    <row r="1611" spans="1:4" x14ac:dyDescent="0.25">
      <c r="A1611" t="s">
        <v>386</v>
      </c>
      <c r="B1611" t="s">
        <v>11</v>
      </c>
      <c r="C1611" s="2">
        <f>HYPERLINK("https://svao.dolgi.msk.ru/account/1760007066/", 1760007066)</f>
        <v>1760007066</v>
      </c>
      <c r="D1611">
        <v>38021.83</v>
      </c>
    </row>
    <row r="1612" spans="1:4" x14ac:dyDescent="0.25">
      <c r="A1612" t="s">
        <v>386</v>
      </c>
      <c r="B1612" t="s">
        <v>107</v>
      </c>
      <c r="C1612" s="2">
        <f>HYPERLINK("https://svao.dolgi.msk.ru/account/1760007138/", 1760007138)</f>
        <v>1760007138</v>
      </c>
      <c r="D1612">
        <v>2566.06</v>
      </c>
    </row>
    <row r="1613" spans="1:4" x14ac:dyDescent="0.25">
      <c r="A1613" t="s">
        <v>386</v>
      </c>
      <c r="B1613" t="s">
        <v>16</v>
      </c>
      <c r="C1613" s="2">
        <f>HYPERLINK("https://svao.dolgi.msk.ru/account/1760007162/", 1760007162)</f>
        <v>1760007162</v>
      </c>
      <c r="D1613">
        <v>4287.05</v>
      </c>
    </row>
    <row r="1614" spans="1:4" x14ac:dyDescent="0.25">
      <c r="A1614" t="s">
        <v>386</v>
      </c>
      <c r="B1614" t="s">
        <v>19</v>
      </c>
      <c r="C1614" s="2">
        <f>HYPERLINK("https://svao.dolgi.msk.ru/account/1760007218/", 1760007218)</f>
        <v>1760007218</v>
      </c>
      <c r="D1614">
        <v>7284.39</v>
      </c>
    </row>
    <row r="1615" spans="1:4" x14ac:dyDescent="0.25">
      <c r="A1615" t="s">
        <v>386</v>
      </c>
      <c r="B1615" t="s">
        <v>20</v>
      </c>
      <c r="C1615" s="2">
        <f>HYPERLINK("https://svao.dolgi.msk.ru/account/1760007242/", 1760007242)</f>
        <v>1760007242</v>
      </c>
      <c r="D1615">
        <v>19815.099999999999</v>
      </c>
    </row>
    <row r="1616" spans="1:4" x14ac:dyDescent="0.25">
      <c r="A1616" t="s">
        <v>386</v>
      </c>
      <c r="B1616" t="s">
        <v>92</v>
      </c>
      <c r="C1616" s="2">
        <f>HYPERLINK("https://svao.dolgi.msk.ru/account/1760007277/", 1760007277)</f>
        <v>1760007277</v>
      </c>
      <c r="D1616">
        <v>6975.71</v>
      </c>
    </row>
    <row r="1617" spans="1:4" x14ac:dyDescent="0.25">
      <c r="A1617" t="s">
        <v>386</v>
      </c>
      <c r="B1617" t="s">
        <v>93</v>
      </c>
      <c r="C1617" s="2">
        <f>HYPERLINK("https://svao.dolgi.msk.ru/account/1760007285/", 1760007285)</f>
        <v>1760007285</v>
      </c>
      <c r="D1617">
        <v>10138.299999999999</v>
      </c>
    </row>
    <row r="1618" spans="1:4" x14ac:dyDescent="0.25">
      <c r="A1618" t="s">
        <v>386</v>
      </c>
      <c r="B1618" t="s">
        <v>113</v>
      </c>
      <c r="C1618" s="2">
        <f>HYPERLINK("https://svao.dolgi.msk.ru/account/1760007322/", 1760007322)</f>
        <v>1760007322</v>
      </c>
      <c r="D1618">
        <v>9047.19</v>
      </c>
    </row>
    <row r="1619" spans="1:4" x14ac:dyDescent="0.25">
      <c r="A1619" t="s">
        <v>386</v>
      </c>
      <c r="B1619" t="s">
        <v>21</v>
      </c>
      <c r="C1619" s="2">
        <f>HYPERLINK("https://svao.dolgi.msk.ru/account/1760007349/", 1760007349)</f>
        <v>1760007349</v>
      </c>
      <c r="D1619">
        <v>2914.23</v>
      </c>
    </row>
    <row r="1620" spans="1:4" x14ac:dyDescent="0.25">
      <c r="A1620" t="s">
        <v>386</v>
      </c>
      <c r="B1620" t="s">
        <v>77</v>
      </c>
      <c r="C1620" s="2">
        <f>HYPERLINK("https://svao.dolgi.msk.ru/account/1760007357/", 1760007357)</f>
        <v>1760007357</v>
      </c>
      <c r="D1620">
        <v>1269.6600000000001</v>
      </c>
    </row>
    <row r="1621" spans="1:4" x14ac:dyDescent="0.25">
      <c r="A1621" t="s">
        <v>386</v>
      </c>
      <c r="B1621" t="s">
        <v>114</v>
      </c>
      <c r="C1621" s="2">
        <f>HYPERLINK("https://svao.dolgi.msk.ru/account/1760007365/", 1760007365)</f>
        <v>1760007365</v>
      </c>
      <c r="D1621">
        <v>9441.6</v>
      </c>
    </row>
    <row r="1622" spans="1:4" x14ac:dyDescent="0.25">
      <c r="A1622" t="s">
        <v>386</v>
      </c>
      <c r="B1622" t="s">
        <v>22</v>
      </c>
      <c r="C1622" s="2">
        <f>HYPERLINK("https://svao.dolgi.msk.ru/account/1760007381/", 1760007381)</f>
        <v>1760007381</v>
      </c>
      <c r="D1622">
        <v>4902.74</v>
      </c>
    </row>
    <row r="1623" spans="1:4" x14ac:dyDescent="0.25">
      <c r="A1623" t="s">
        <v>386</v>
      </c>
      <c r="B1623" t="s">
        <v>79</v>
      </c>
      <c r="C1623" s="2">
        <f>HYPERLINK("https://svao.dolgi.msk.ru/account/1760007402/", 1760007402)</f>
        <v>1760007402</v>
      </c>
      <c r="D1623">
        <v>3999.62</v>
      </c>
    </row>
    <row r="1624" spans="1:4" x14ac:dyDescent="0.25">
      <c r="A1624" t="s">
        <v>386</v>
      </c>
      <c r="B1624" t="s">
        <v>124</v>
      </c>
      <c r="C1624" s="2">
        <f>HYPERLINK("https://svao.dolgi.msk.ru/account/1760007437/", 1760007437)</f>
        <v>1760007437</v>
      </c>
      <c r="D1624">
        <v>22112.51</v>
      </c>
    </row>
    <row r="1625" spans="1:4" x14ac:dyDescent="0.25">
      <c r="A1625" t="s">
        <v>386</v>
      </c>
      <c r="B1625" t="s">
        <v>320</v>
      </c>
      <c r="C1625" s="2">
        <f>HYPERLINK("https://svao.dolgi.msk.ru/account/1760007461/", 1760007461)</f>
        <v>1760007461</v>
      </c>
      <c r="D1625">
        <v>103.5</v>
      </c>
    </row>
    <row r="1626" spans="1:4" x14ac:dyDescent="0.25">
      <c r="A1626" t="s">
        <v>386</v>
      </c>
      <c r="B1626" t="s">
        <v>314</v>
      </c>
      <c r="C1626" s="2">
        <f>HYPERLINK("https://svao.dolgi.msk.ru/account/1760007496/", 1760007496)</f>
        <v>1760007496</v>
      </c>
      <c r="D1626">
        <v>1584.51</v>
      </c>
    </row>
    <row r="1627" spans="1:4" x14ac:dyDescent="0.25">
      <c r="A1627" t="s">
        <v>386</v>
      </c>
      <c r="B1627" t="s">
        <v>95</v>
      </c>
      <c r="C1627" s="2">
        <f>HYPERLINK("https://svao.dolgi.msk.ru/account/1760007517/", 1760007517)</f>
        <v>1760007517</v>
      </c>
      <c r="D1627">
        <v>1791.56</v>
      </c>
    </row>
    <row r="1628" spans="1:4" x14ac:dyDescent="0.25">
      <c r="A1628" t="s">
        <v>386</v>
      </c>
      <c r="B1628" t="s">
        <v>125</v>
      </c>
      <c r="C1628" s="2">
        <f>HYPERLINK("https://svao.dolgi.msk.ru/account/1760007533/", 1760007533)</f>
        <v>1760007533</v>
      </c>
      <c r="D1628">
        <v>3103.42</v>
      </c>
    </row>
    <row r="1629" spans="1:4" x14ac:dyDescent="0.25">
      <c r="A1629" t="s">
        <v>386</v>
      </c>
      <c r="B1629" t="s">
        <v>119</v>
      </c>
      <c r="C1629" s="2">
        <f>HYPERLINK("https://svao.dolgi.msk.ru/account/1760007605/", 1760007605)</f>
        <v>1760007605</v>
      </c>
      <c r="D1629">
        <v>126244.99</v>
      </c>
    </row>
    <row r="1630" spans="1:4" x14ac:dyDescent="0.25">
      <c r="A1630" t="s">
        <v>386</v>
      </c>
      <c r="B1630" t="s">
        <v>120</v>
      </c>
      <c r="C1630" s="2">
        <f>HYPERLINK("https://svao.dolgi.msk.ru/account/1760007613/", 1760007613)</f>
        <v>1760007613</v>
      </c>
      <c r="D1630">
        <v>5761.48</v>
      </c>
    </row>
    <row r="1631" spans="1:4" x14ac:dyDescent="0.25">
      <c r="A1631" t="s">
        <v>386</v>
      </c>
      <c r="B1631" t="s">
        <v>83</v>
      </c>
      <c r="C1631" s="2">
        <f>HYPERLINK("https://svao.dolgi.msk.ru/account/1760007664/", 1760007664)</f>
        <v>1760007664</v>
      </c>
      <c r="D1631">
        <v>2325.16</v>
      </c>
    </row>
    <row r="1632" spans="1:4" x14ac:dyDescent="0.25">
      <c r="A1632" t="s">
        <v>386</v>
      </c>
      <c r="B1632" t="s">
        <v>26</v>
      </c>
      <c r="C1632" s="2">
        <f>HYPERLINK("https://svao.dolgi.msk.ru/account/1760007672/", 1760007672)</f>
        <v>1760007672</v>
      </c>
      <c r="D1632">
        <v>4843.74</v>
      </c>
    </row>
    <row r="1633" spans="1:4" x14ac:dyDescent="0.25">
      <c r="A1633" t="s">
        <v>386</v>
      </c>
      <c r="B1633" t="s">
        <v>96</v>
      </c>
      <c r="C1633" s="2">
        <f>HYPERLINK("https://svao.dolgi.msk.ru/account/1760007701/", 1760007701)</f>
        <v>1760007701</v>
      </c>
      <c r="D1633">
        <v>2297.09</v>
      </c>
    </row>
    <row r="1634" spans="1:4" x14ac:dyDescent="0.25">
      <c r="A1634" t="s">
        <v>387</v>
      </c>
      <c r="B1634" t="s">
        <v>41</v>
      </c>
      <c r="C1634" s="2">
        <f>HYPERLINK("https://svao.dolgi.msk.ru/account/1760008747/", 1760008747)</f>
        <v>1760008747</v>
      </c>
      <c r="D1634">
        <v>273189.58</v>
      </c>
    </row>
    <row r="1635" spans="1:4" x14ac:dyDescent="0.25">
      <c r="A1635" t="s">
        <v>387</v>
      </c>
      <c r="B1635" t="s">
        <v>141</v>
      </c>
      <c r="C1635" s="2">
        <f>HYPERLINK("https://svao.dolgi.msk.ru/account/1760008819/", 1760008819)</f>
        <v>1760008819</v>
      </c>
      <c r="D1635">
        <v>6051.16</v>
      </c>
    </row>
    <row r="1636" spans="1:4" x14ac:dyDescent="0.25">
      <c r="A1636" t="s">
        <v>387</v>
      </c>
      <c r="B1636" t="s">
        <v>104</v>
      </c>
      <c r="C1636" s="2">
        <f>HYPERLINK("https://svao.dolgi.msk.ru/account/1760008851/", 1760008851)</f>
        <v>1760008851</v>
      </c>
      <c r="D1636">
        <v>3400.46</v>
      </c>
    </row>
    <row r="1637" spans="1:4" x14ac:dyDescent="0.25">
      <c r="A1637" t="s">
        <v>387</v>
      </c>
      <c r="B1637" t="s">
        <v>74</v>
      </c>
      <c r="C1637" s="2">
        <f>HYPERLINK("https://svao.dolgi.msk.ru/account/1760008886/", 1760008886)</f>
        <v>1760008886</v>
      </c>
      <c r="D1637">
        <v>778.72</v>
      </c>
    </row>
    <row r="1638" spans="1:4" x14ac:dyDescent="0.25">
      <c r="A1638" t="s">
        <v>387</v>
      </c>
      <c r="B1638" t="s">
        <v>137</v>
      </c>
      <c r="C1638" s="2">
        <f>HYPERLINK("https://svao.dolgi.msk.ru/account/1760008907/", 1760008907)</f>
        <v>1760008907</v>
      </c>
      <c r="D1638">
        <v>12460.42</v>
      </c>
    </row>
    <row r="1639" spans="1:4" x14ac:dyDescent="0.25">
      <c r="A1639" t="s">
        <v>387</v>
      </c>
      <c r="B1639" t="s">
        <v>137</v>
      </c>
      <c r="C1639" s="2">
        <f>HYPERLINK("https://svao.dolgi.msk.ru/account/1760008923/", 1760008923)</f>
        <v>1760008923</v>
      </c>
      <c r="D1639">
        <v>271.95999999999998</v>
      </c>
    </row>
    <row r="1640" spans="1:4" x14ac:dyDescent="0.25">
      <c r="A1640" t="s">
        <v>387</v>
      </c>
      <c r="B1640" t="s">
        <v>75</v>
      </c>
      <c r="C1640" s="2">
        <f>HYPERLINK("https://svao.dolgi.msk.ru/account/1760008958/", 1760008958)</f>
        <v>1760008958</v>
      </c>
      <c r="D1640">
        <v>5762.08</v>
      </c>
    </row>
    <row r="1641" spans="1:4" x14ac:dyDescent="0.25">
      <c r="A1641" t="s">
        <v>387</v>
      </c>
      <c r="B1641" t="s">
        <v>219</v>
      </c>
      <c r="C1641" s="2">
        <f>HYPERLINK("https://svao.dolgi.msk.ru/account/1760009002/", 1760009002)</f>
        <v>1760009002</v>
      </c>
      <c r="D1641">
        <v>16428.09</v>
      </c>
    </row>
    <row r="1642" spans="1:4" x14ac:dyDescent="0.25">
      <c r="A1642" t="s">
        <v>387</v>
      </c>
      <c r="B1642" t="s">
        <v>12</v>
      </c>
      <c r="C1642" s="2">
        <f>HYPERLINK("https://svao.dolgi.msk.ru/account/1760009037/", 1760009037)</f>
        <v>1760009037</v>
      </c>
      <c r="D1642">
        <v>3578.58</v>
      </c>
    </row>
    <row r="1643" spans="1:4" x14ac:dyDescent="0.25">
      <c r="A1643" t="s">
        <v>387</v>
      </c>
      <c r="B1643" t="s">
        <v>13</v>
      </c>
      <c r="C1643" s="2">
        <f>HYPERLINK("https://svao.dolgi.msk.ru/account/1760009045/", 1760009045)</f>
        <v>1760009045</v>
      </c>
      <c r="D1643">
        <v>27167.93</v>
      </c>
    </row>
    <row r="1644" spans="1:4" x14ac:dyDescent="0.25">
      <c r="A1644" t="s">
        <v>387</v>
      </c>
      <c r="B1644" t="s">
        <v>14</v>
      </c>
      <c r="C1644" s="2">
        <f>HYPERLINK("https://svao.dolgi.msk.ru/account/1760009053/", 1760009053)</f>
        <v>1760009053</v>
      </c>
      <c r="D1644">
        <v>4623.78</v>
      </c>
    </row>
    <row r="1645" spans="1:4" x14ac:dyDescent="0.25">
      <c r="A1645" t="s">
        <v>387</v>
      </c>
      <c r="B1645" t="s">
        <v>17</v>
      </c>
      <c r="C1645" s="2">
        <f>HYPERLINK("https://svao.dolgi.msk.ru/account/1760009125/", 1760009125)</f>
        <v>1760009125</v>
      </c>
      <c r="D1645">
        <v>4054.71</v>
      </c>
    </row>
    <row r="1646" spans="1:4" x14ac:dyDescent="0.25">
      <c r="A1646" t="s">
        <v>387</v>
      </c>
      <c r="B1646" t="s">
        <v>19</v>
      </c>
      <c r="C1646" s="2">
        <f>HYPERLINK("https://svao.dolgi.msk.ru/account/1760009141/", 1760009141)</f>
        <v>1760009141</v>
      </c>
      <c r="D1646">
        <v>2498.62</v>
      </c>
    </row>
    <row r="1647" spans="1:4" x14ac:dyDescent="0.25">
      <c r="A1647" t="s">
        <v>387</v>
      </c>
      <c r="B1647" t="s">
        <v>19</v>
      </c>
      <c r="C1647" s="2">
        <f>HYPERLINK("https://svao.dolgi.msk.ru/account/1760009168/", 1760009168)</f>
        <v>1760009168</v>
      </c>
      <c r="D1647">
        <v>3147.7</v>
      </c>
    </row>
    <row r="1648" spans="1:4" x14ac:dyDescent="0.25">
      <c r="A1648" t="s">
        <v>387</v>
      </c>
      <c r="B1648" t="s">
        <v>19</v>
      </c>
      <c r="C1648" s="2">
        <f>HYPERLINK("https://svao.dolgi.msk.ru/account/1760009176/", 1760009176)</f>
        <v>1760009176</v>
      </c>
      <c r="D1648">
        <v>12179.81</v>
      </c>
    </row>
    <row r="1649" spans="1:4" x14ac:dyDescent="0.25">
      <c r="A1649" t="s">
        <v>387</v>
      </c>
      <c r="B1649" t="s">
        <v>19</v>
      </c>
      <c r="C1649" s="2">
        <f>HYPERLINK("https://svao.dolgi.msk.ru/account/1761791753/", 1761791753)</f>
        <v>1761791753</v>
      </c>
      <c r="D1649">
        <v>2162.87</v>
      </c>
    </row>
    <row r="1650" spans="1:4" x14ac:dyDescent="0.25">
      <c r="A1650" t="s">
        <v>387</v>
      </c>
      <c r="B1650" t="s">
        <v>93</v>
      </c>
      <c r="C1650" s="2">
        <f>HYPERLINK("https://svao.dolgi.msk.ru/account/1760009248/", 1760009248)</f>
        <v>1760009248</v>
      </c>
      <c r="D1650">
        <v>5268.16</v>
      </c>
    </row>
    <row r="1651" spans="1:4" x14ac:dyDescent="0.25">
      <c r="A1651" t="s">
        <v>387</v>
      </c>
      <c r="B1651" t="s">
        <v>21</v>
      </c>
      <c r="C1651" s="2">
        <f>HYPERLINK("https://svao.dolgi.msk.ru/account/1760009301/", 1760009301)</f>
        <v>1760009301</v>
      </c>
      <c r="D1651">
        <v>1625.1</v>
      </c>
    </row>
    <row r="1652" spans="1:4" x14ac:dyDescent="0.25">
      <c r="A1652" t="s">
        <v>387</v>
      </c>
      <c r="B1652" t="s">
        <v>79</v>
      </c>
      <c r="C1652" s="2">
        <f>HYPERLINK("https://svao.dolgi.msk.ru/account/1760009379/", 1760009379)</f>
        <v>1760009379</v>
      </c>
      <c r="D1652">
        <v>3665.78</v>
      </c>
    </row>
    <row r="1653" spans="1:4" x14ac:dyDescent="0.25">
      <c r="A1653" t="s">
        <v>387</v>
      </c>
      <c r="B1653" t="s">
        <v>23</v>
      </c>
      <c r="C1653" s="2">
        <f>HYPERLINK("https://svao.dolgi.msk.ru/account/1760009395/", 1760009395)</f>
        <v>1760009395</v>
      </c>
      <c r="D1653">
        <v>3664</v>
      </c>
    </row>
    <row r="1654" spans="1:4" x14ac:dyDescent="0.25">
      <c r="A1654" t="s">
        <v>387</v>
      </c>
      <c r="B1654" t="s">
        <v>124</v>
      </c>
      <c r="C1654" s="2">
        <f>HYPERLINK("https://svao.dolgi.msk.ru/account/1761810272/", 1761810272)</f>
        <v>1761810272</v>
      </c>
      <c r="D1654">
        <v>42088.98</v>
      </c>
    </row>
    <row r="1655" spans="1:4" x14ac:dyDescent="0.25">
      <c r="A1655" t="s">
        <v>387</v>
      </c>
      <c r="B1655" t="s">
        <v>124</v>
      </c>
      <c r="C1655" s="2">
        <f>HYPERLINK("https://svao.dolgi.msk.ru/account/1761810299/", 1761810299)</f>
        <v>1761810299</v>
      </c>
      <c r="D1655">
        <v>24509.42</v>
      </c>
    </row>
    <row r="1656" spans="1:4" x14ac:dyDescent="0.25">
      <c r="A1656" t="s">
        <v>387</v>
      </c>
      <c r="B1656" t="s">
        <v>95</v>
      </c>
      <c r="C1656" s="2">
        <f>HYPERLINK("https://svao.dolgi.msk.ru/account/1760009491/", 1760009491)</f>
        <v>1760009491</v>
      </c>
      <c r="D1656">
        <v>24286.75</v>
      </c>
    </row>
    <row r="1657" spans="1:4" x14ac:dyDescent="0.25">
      <c r="A1657" t="s">
        <v>387</v>
      </c>
      <c r="B1657" t="s">
        <v>125</v>
      </c>
      <c r="C1657" s="2">
        <f>HYPERLINK("https://svao.dolgi.msk.ru/account/1760009512/", 1760009512)</f>
        <v>1760009512</v>
      </c>
      <c r="D1657">
        <v>8724.2800000000007</v>
      </c>
    </row>
    <row r="1658" spans="1:4" x14ac:dyDescent="0.25">
      <c r="A1658" t="s">
        <v>387</v>
      </c>
      <c r="B1658" t="s">
        <v>80</v>
      </c>
      <c r="C1658" s="2">
        <f>HYPERLINK("https://svao.dolgi.msk.ru/account/1760009547/", 1760009547)</f>
        <v>1760009547</v>
      </c>
      <c r="D1658">
        <v>4259.05</v>
      </c>
    </row>
    <row r="1659" spans="1:4" x14ac:dyDescent="0.25">
      <c r="A1659" t="s">
        <v>387</v>
      </c>
      <c r="B1659" t="s">
        <v>118</v>
      </c>
      <c r="C1659" s="2">
        <f>HYPERLINK("https://svao.dolgi.msk.ru/account/1760009555/", 1760009555)</f>
        <v>1760009555</v>
      </c>
      <c r="D1659">
        <v>129279.76</v>
      </c>
    </row>
    <row r="1660" spans="1:4" x14ac:dyDescent="0.25">
      <c r="A1660" t="s">
        <v>388</v>
      </c>
      <c r="B1660" t="s">
        <v>8</v>
      </c>
      <c r="C1660" s="2">
        <f>HYPERLINK("https://svao.dolgi.msk.ru/account/1760001131/", 1760001131)</f>
        <v>1760001131</v>
      </c>
      <c r="D1660">
        <v>5319.2</v>
      </c>
    </row>
    <row r="1661" spans="1:4" x14ac:dyDescent="0.25">
      <c r="A1661" t="s">
        <v>388</v>
      </c>
      <c r="B1661" t="s">
        <v>137</v>
      </c>
      <c r="C1661" s="2">
        <f>HYPERLINK("https://svao.dolgi.msk.ru/account/1760001166/", 1760001166)</f>
        <v>1760001166</v>
      </c>
      <c r="D1661">
        <v>6833.06</v>
      </c>
    </row>
    <row r="1662" spans="1:4" x14ac:dyDescent="0.25">
      <c r="A1662" t="s">
        <v>388</v>
      </c>
      <c r="B1662" t="s">
        <v>10</v>
      </c>
      <c r="C1662" s="2">
        <f>HYPERLINK("https://svao.dolgi.msk.ru/account/1760001211/", 1760001211)</f>
        <v>1760001211</v>
      </c>
      <c r="D1662">
        <v>37665.89</v>
      </c>
    </row>
    <row r="1663" spans="1:4" x14ac:dyDescent="0.25">
      <c r="A1663" t="s">
        <v>388</v>
      </c>
      <c r="B1663" t="s">
        <v>219</v>
      </c>
      <c r="C1663" s="2">
        <f>HYPERLINK("https://svao.dolgi.msk.ru/account/1760001238/", 1760001238)</f>
        <v>1760001238</v>
      </c>
      <c r="D1663">
        <v>3881.71</v>
      </c>
    </row>
    <row r="1664" spans="1:4" x14ac:dyDescent="0.25">
      <c r="A1664" t="s">
        <v>388</v>
      </c>
      <c r="B1664" t="s">
        <v>12</v>
      </c>
      <c r="C1664" s="2">
        <f>HYPERLINK("https://svao.dolgi.msk.ru/account/1760001254/", 1760001254)</f>
        <v>1760001254</v>
      </c>
      <c r="D1664">
        <v>4106.26</v>
      </c>
    </row>
    <row r="1665" spans="1:4" x14ac:dyDescent="0.25">
      <c r="A1665" t="s">
        <v>388</v>
      </c>
      <c r="B1665" t="s">
        <v>14</v>
      </c>
      <c r="C1665" s="2">
        <f>HYPERLINK("https://svao.dolgi.msk.ru/account/1760001289/", 1760001289)</f>
        <v>1760001289</v>
      </c>
      <c r="D1665">
        <v>16054.42</v>
      </c>
    </row>
    <row r="1666" spans="1:4" x14ac:dyDescent="0.25">
      <c r="A1666" t="s">
        <v>388</v>
      </c>
      <c r="B1666" t="s">
        <v>110</v>
      </c>
      <c r="C1666" s="2">
        <f>HYPERLINK("https://svao.dolgi.msk.ru/account/1760001406/", 1760001406)</f>
        <v>1760001406</v>
      </c>
      <c r="D1666">
        <v>4879.41</v>
      </c>
    </row>
    <row r="1667" spans="1:4" x14ac:dyDescent="0.25">
      <c r="A1667" t="s">
        <v>388</v>
      </c>
      <c r="B1667" t="s">
        <v>93</v>
      </c>
      <c r="C1667" s="2">
        <f>HYPERLINK("https://svao.dolgi.msk.ru/account/1760001457/", 1760001457)</f>
        <v>1760001457</v>
      </c>
      <c r="D1667">
        <v>4274.68</v>
      </c>
    </row>
    <row r="1668" spans="1:4" x14ac:dyDescent="0.25">
      <c r="A1668" t="s">
        <v>388</v>
      </c>
      <c r="B1668" t="s">
        <v>117</v>
      </c>
      <c r="C1668" s="2">
        <f>HYPERLINK("https://svao.dolgi.msk.ru/account/1760001617/", 1760001617)</f>
        <v>1760001617</v>
      </c>
      <c r="D1668">
        <v>15353.79</v>
      </c>
    </row>
    <row r="1669" spans="1:4" x14ac:dyDescent="0.25">
      <c r="A1669" t="s">
        <v>388</v>
      </c>
      <c r="B1669" t="s">
        <v>320</v>
      </c>
      <c r="C1669" s="2">
        <f>HYPERLINK("https://svao.dolgi.msk.ru/account/1760001633/", 1760001633)</f>
        <v>1760001633</v>
      </c>
      <c r="D1669">
        <v>4684.79</v>
      </c>
    </row>
    <row r="1670" spans="1:4" x14ac:dyDescent="0.25">
      <c r="A1670" t="s">
        <v>388</v>
      </c>
      <c r="B1670" t="s">
        <v>314</v>
      </c>
      <c r="C1670" s="2">
        <f>HYPERLINK("https://svao.dolgi.msk.ru/account/1760001668/", 1760001668)</f>
        <v>1760001668</v>
      </c>
      <c r="D1670">
        <v>6472.02</v>
      </c>
    </row>
    <row r="1671" spans="1:4" x14ac:dyDescent="0.25">
      <c r="A1671" t="s">
        <v>388</v>
      </c>
      <c r="B1671" t="s">
        <v>125</v>
      </c>
      <c r="C1671" s="2">
        <f>HYPERLINK("https://svao.dolgi.msk.ru/account/1760001705/", 1760001705)</f>
        <v>1760001705</v>
      </c>
      <c r="D1671">
        <v>5281.69</v>
      </c>
    </row>
    <row r="1672" spans="1:4" x14ac:dyDescent="0.25">
      <c r="A1672" t="s">
        <v>388</v>
      </c>
      <c r="B1672" t="s">
        <v>120</v>
      </c>
      <c r="C1672" s="2">
        <f>HYPERLINK("https://svao.dolgi.msk.ru/account/1760001799/", 1760001799)</f>
        <v>1760001799</v>
      </c>
      <c r="D1672">
        <v>2737.05</v>
      </c>
    </row>
    <row r="1673" spans="1:4" x14ac:dyDescent="0.25">
      <c r="A1673" t="s">
        <v>388</v>
      </c>
      <c r="B1673" t="s">
        <v>83</v>
      </c>
      <c r="C1673" s="2">
        <f>HYPERLINK("https://svao.dolgi.msk.ru/account/1760001844/", 1760001844)</f>
        <v>1760001844</v>
      </c>
      <c r="D1673">
        <v>31564.62</v>
      </c>
    </row>
    <row r="1674" spans="1:4" x14ac:dyDescent="0.25">
      <c r="A1674" t="s">
        <v>388</v>
      </c>
      <c r="B1674" t="s">
        <v>96</v>
      </c>
      <c r="C1674" s="2">
        <f>HYPERLINK("https://svao.dolgi.msk.ru/account/1760001895/", 1760001895)</f>
        <v>1760001895</v>
      </c>
      <c r="D1674">
        <v>1287.1400000000001</v>
      </c>
    </row>
    <row r="1675" spans="1:4" x14ac:dyDescent="0.25">
      <c r="A1675" t="s">
        <v>389</v>
      </c>
      <c r="B1675" t="s">
        <v>6</v>
      </c>
      <c r="C1675" s="2">
        <f>HYPERLINK("https://svao.dolgi.msk.ru/account/1760010556/", 1760010556)</f>
        <v>1760010556</v>
      </c>
      <c r="D1675">
        <v>222282.61</v>
      </c>
    </row>
    <row r="1676" spans="1:4" x14ac:dyDescent="0.25">
      <c r="A1676" t="s">
        <v>389</v>
      </c>
      <c r="B1676" t="s">
        <v>7</v>
      </c>
      <c r="C1676" s="2">
        <f>HYPERLINK("https://svao.dolgi.msk.ru/account/1760010599/", 1760010599)</f>
        <v>1760010599</v>
      </c>
      <c r="D1676">
        <v>8356.84</v>
      </c>
    </row>
    <row r="1677" spans="1:4" x14ac:dyDescent="0.25">
      <c r="A1677" t="s">
        <v>389</v>
      </c>
      <c r="B1677" t="s">
        <v>102</v>
      </c>
      <c r="C1677" s="2">
        <f>HYPERLINK("https://svao.dolgi.msk.ru/account/1760010636/", 1760010636)</f>
        <v>1760010636</v>
      </c>
      <c r="D1677">
        <v>81127.12</v>
      </c>
    </row>
    <row r="1678" spans="1:4" x14ac:dyDescent="0.25">
      <c r="A1678" t="s">
        <v>389</v>
      </c>
      <c r="B1678" t="s">
        <v>103</v>
      </c>
      <c r="C1678" s="2">
        <f>HYPERLINK("https://svao.dolgi.msk.ru/account/1760010644/", 1760010644)</f>
        <v>1760010644</v>
      </c>
      <c r="D1678">
        <v>4285.2</v>
      </c>
    </row>
    <row r="1679" spans="1:4" x14ac:dyDescent="0.25">
      <c r="A1679" t="s">
        <v>389</v>
      </c>
      <c r="B1679" t="s">
        <v>104</v>
      </c>
      <c r="C1679" s="2">
        <f>HYPERLINK("https://svao.dolgi.msk.ru/account/1760010679/", 1760010679)</f>
        <v>1760010679</v>
      </c>
      <c r="D1679">
        <v>6579.04</v>
      </c>
    </row>
    <row r="1680" spans="1:4" x14ac:dyDescent="0.25">
      <c r="A1680" t="s">
        <v>389</v>
      </c>
      <c r="B1680" t="s">
        <v>14</v>
      </c>
      <c r="C1680" s="2">
        <f>HYPERLINK("https://svao.dolgi.msk.ru/account/1760010804/", 1760010804)</f>
        <v>1760010804</v>
      </c>
      <c r="D1680">
        <v>8457.58</v>
      </c>
    </row>
    <row r="1681" spans="1:4" x14ac:dyDescent="0.25">
      <c r="A1681" t="s">
        <v>389</v>
      </c>
      <c r="B1681" t="s">
        <v>17</v>
      </c>
      <c r="C1681" s="2">
        <f>HYPERLINK("https://svao.dolgi.msk.ru/account/1760010871/", 1760010871)</f>
        <v>1760010871</v>
      </c>
      <c r="D1681">
        <v>4969.6000000000004</v>
      </c>
    </row>
    <row r="1682" spans="1:4" x14ac:dyDescent="0.25">
      <c r="A1682" t="s">
        <v>389</v>
      </c>
      <c r="B1682" t="s">
        <v>18</v>
      </c>
      <c r="C1682" s="2">
        <f>HYPERLINK("https://svao.dolgi.msk.ru/account/1760010898/", 1760010898)</f>
        <v>1760010898</v>
      </c>
      <c r="D1682">
        <v>1726.07</v>
      </c>
    </row>
    <row r="1683" spans="1:4" x14ac:dyDescent="0.25">
      <c r="A1683" t="s">
        <v>389</v>
      </c>
      <c r="B1683" t="s">
        <v>92</v>
      </c>
      <c r="C1683" s="2">
        <f>HYPERLINK("https://svao.dolgi.msk.ru/account/1760010978/", 1760010978)</f>
        <v>1760010978</v>
      </c>
      <c r="D1683">
        <v>10055.129999999999</v>
      </c>
    </row>
    <row r="1684" spans="1:4" x14ac:dyDescent="0.25">
      <c r="A1684" t="s">
        <v>389</v>
      </c>
      <c r="B1684" t="s">
        <v>111</v>
      </c>
      <c r="C1684" s="2">
        <f>HYPERLINK("https://svao.dolgi.msk.ru/account/1760010994/", 1760010994)</f>
        <v>1760010994</v>
      </c>
      <c r="D1684">
        <v>3916.54</v>
      </c>
    </row>
    <row r="1685" spans="1:4" x14ac:dyDescent="0.25">
      <c r="A1685" t="s">
        <v>389</v>
      </c>
      <c r="B1685" t="s">
        <v>94</v>
      </c>
      <c r="C1685" s="2">
        <f>HYPERLINK("https://svao.dolgi.msk.ru/account/1760011006/", 1760011006)</f>
        <v>1760011006</v>
      </c>
      <c r="D1685">
        <v>3627.69</v>
      </c>
    </row>
    <row r="1686" spans="1:4" x14ac:dyDescent="0.25">
      <c r="A1686" t="s">
        <v>389</v>
      </c>
      <c r="B1686" t="s">
        <v>21</v>
      </c>
      <c r="C1686" s="2">
        <f>HYPERLINK("https://svao.dolgi.msk.ru/account/1760011049/", 1760011049)</f>
        <v>1760011049</v>
      </c>
      <c r="D1686">
        <v>2620.91</v>
      </c>
    </row>
    <row r="1687" spans="1:4" x14ac:dyDescent="0.25">
      <c r="A1687" t="s">
        <v>389</v>
      </c>
      <c r="B1687" t="s">
        <v>114</v>
      </c>
      <c r="C1687" s="2">
        <f>HYPERLINK("https://svao.dolgi.msk.ru/account/1760011065/", 1760011065)</f>
        <v>1760011065</v>
      </c>
      <c r="D1687">
        <v>2469.0100000000002</v>
      </c>
    </row>
    <row r="1688" spans="1:4" x14ac:dyDescent="0.25">
      <c r="A1688" t="s">
        <v>389</v>
      </c>
      <c r="B1688" t="s">
        <v>320</v>
      </c>
      <c r="C1688" s="2">
        <f>HYPERLINK("https://svao.dolgi.msk.ru/account/1760011161/", 1760011161)</f>
        <v>1760011161</v>
      </c>
      <c r="D1688">
        <v>3818.58</v>
      </c>
    </row>
    <row r="1689" spans="1:4" x14ac:dyDescent="0.25">
      <c r="A1689" t="s">
        <v>389</v>
      </c>
      <c r="B1689" t="s">
        <v>314</v>
      </c>
      <c r="C1689" s="2">
        <f>HYPERLINK("https://svao.dolgi.msk.ru/account/1760011196/", 1760011196)</f>
        <v>1760011196</v>
      </c>
      <c r="D1689">
        <v>9062.39</v>
      </c>
    </row>
    <row r="1690" spans="1:4" x14ac:dyDescent="0.25">
      <c r="A1690" t="s">
        <v>389</v>
      </c>
      <c r="B1690" t="s">
        <v>95</v>
      </c>
      <c r="C1690" s="2">
        <f>HYPERLINK("https://svao.dolgi.msk.ru/account/1760011217/", 1760011217)</f>
        <v>1760011217</v>
      </c>
      <c r="D1690">
        <v>4660.91</v>
      </c>
    </row>
    <row r="1691" spans="1:4" x14ac:dyDescent="0.25">
      <c r="A1691" t="s">
        <v>389</v>
      </c>
      <c r="B1691" t="s">
        <v>126</v>
      </c>
      <c r="C1691" s="2">
        <f>HYPERLINK("https://svao.dolgi.msk.ru/account/1760011241/", 1760011241)</f>
        <v>1760011241</v>
      </c>
      <c r="D1691">
        <v>3886.62</v>
      </c>
    </row>
    <row r="1692" spans="1:4" x14ac:dyDescent="0.25">
      <c r="A1692" t="s">
        <v>390</v>
      </c>
      <c r="B1692" t="s">
        <v>6</v>
      </c>
      <c r="C1692" s="2">
        <f>HYPERLINK("https://svao.dolgi.msk.ru/account/1760000032/", 1760000032)</f>
        <v>1760000032</v>
      </c>
      <c r="D1692">
        <v>5220.8900000000003</v>
      </c>
    </row>
    <row r="1693" spans="1:4" x14ac:dyDescent="0.25">
      <c r="A1693" t="s">
        <v>390</v>
      </c>
      <c r="B1693" t="s">
        <v>41</v>
      </c>
      <c r="C1693" s="2">
        <f>HYPERLINK("https://svao.dolgi.msk.ru/account/1760000059/", 1760000059)</f>
        <v>1760000059</v>
      </c>
      <c r="D1693">
        <v>622.5</v>
      </c>
    </row>
    <row r="1694" spans="1:4" x14ac:dyDescent="0.25">
      <c r="A1694" t="s">
        <v>390</v>
      </c>
      <c r="B1694" t="s">
        <v>5</v>
      </c>
      <c r="C1694" s="2">
        <f>HYPERLINK("https://svao.dolgi.msk.ru/account/1760000067/", 1760000067)</f>
        <v>1760000067</v>
      </c>
      <c r="D1694">
        <v>1947.47</v>
      </c>
    </row>
    <row r="1695" spans="1:4" x14ac:dyDescent="0.25">
      <c r="A1695" t="s">
        <v>390</v>
      </c>
      <c r="B1695" t="s">
        <v>7</v>
      </c>
      <c r="C1695" s="2">
        <f>HYPERLINK("https://svao.dolgi.msk.ru/account/1760000075/", 1760000075)</f>
        <v>1760000075</v>
      </c>
      <c r="D1695">
        <v>1643.42</v>
      </c>
    </row>
    <row r="1696" spans="1:4" x14ac:dyDescent="0.25">
      <c r="A1696" t="s">
        <v>390</v>
      </c>
      <c r="B1696" t="s">
        <v>141</v>
      </c>
      <c r="C1696" s="2">
        <f>HYPERLINK("https://svao.dolgi.msk.ru/account/1760000091/", 1760000091)</f>
        <v>1760000091</v>
      </c>
      <c r="D1696">
        <v>3297.25</v>
      </c>
    </row>
    <row r="1697" spans="1:4" x14ac:dyDescent="0.25">
      <c r="A1697" t="s">
        <v>390</v>
      </c>
      <c r="B1697" t="s">
        <v>103</v>
      </c>
      <c r="C1697" s="2">
        <f>HYPERLINK("https://svao.dolgi.msk.ru/account/1760000112/", 1760000112)</f>
        <v>1760000112</v>
      </c>
      <c r="D1697">
        <v>7774.53</v>
      </c>
    </row>
    <row r="1698" spans="1:4" x14ac:dyDescent="0.25">
      <c r="A1698" t="s">
        <v>390</v>
      </c>
      <c r="B1698" t="s">
        <v>104</v>
      </c>
      <c r="C1698" s="2">
        <f>HYPERLINK("https://svao.dolgi.msk.ru/account/1760000147/", 1760000147)</f>
        <v>1760000147</v>
      </c>
      <c r="D1698">
        <v>7189.53</v>
      </c>
    </row>
    <row r="1699" spans="1:4" x14ac:dyDescent="0.25">
      <c r="A1699" t="s">
        <v>390</v>
      </c>
      <c r="B1699" t="s">
        <v>137</v>
      </c>
      <c r="C1699" s="2">
        <f>HYPERLINK("https://svao.dolgi.msk.ru/account/1760000171/", 1760000171)</f>
        <v>1760000171</v>
      </c>
      <c r="D1699">
        <v>6842.52</v>
      </c>
    </row>
    <row r="1700" spans="1:4" x14ac:dyDescent="0.25">
      <c r="A1700" t="s">
        <v>390</v>
      </c>
      <c r="B1700" t="s">
        <v>75</v>
      </c>
      <c r="C1700" s="2">
        <f>HYPERLINK("https://svao.dolgi.msk.ru/account/1760000219/", 1760000219)</f>
        <v>1760000219</v>
      </c>
      <c r="D1700">
        <v>787.89</v>
      </c>
    </row>
    <row r="1701" spans="1:4" x14ac:dyDescent="0.25">
      <c r="A1701" t="s">
        <v>390</v>
      </c>
      <c r="B1701" t="s">
        <v>10</v>
      </c>
      <c r="C1701" s="2">
        <f>HYPERLINK("https://svao.dolgi.msk.ru/account/1760000235/", 1760000235)</f>
        <v>1760000235</v>
      </c>
      <c r="D1701">
        <v>4539.6000000000004</v>
      </c>
    </row>
    <row r="1702" spans="1:4" x14ac:dyDescent="0.25">
      <c r="A1702" t="s">
        <v>390</v>
      </c>
      <c r="B1702" t="s">
        <v>14</v>
      </c>
      <c r="C1702" s="2">
        <f>HYPERLINK("https://svao.dolgi.msk.ru/account/1760000294/", 1760000294)</f>
        <v>1760000294</v>
      </c>
      <c r="D1702">
        <v>1393.86</v>
      </c>
    </row>
    <row r="1703" spans="1:4" x14ac:dyDescent="0.25">
      <c r="A1703" t="s">
        <v>390</v>
      </c>
      <c r="B1703" t="s">
        <v>106</v>
      </c>
      <c r="C1703" s="2">
        <f>HYPERLINK("https://svao.dolgi.msk.ru/account/1760000307/", 1760000307)</f>
        <v>1760000307</v>
      </c>
      <c r="D1703">
        <v>4222.5600000000004</v>
      </c>
    </row>
    <row r="1704" spans="1:4" x14ac:dyDescent="0.25">
      <c r="A1704" t="s">
        <v>390</v>
      </c>
      <c r="B1704" t="s">
        <v>107</v>
      </c>
      <c r="C1704" s="2">
        <f>HYPERLINK("https://svao.dolgi.msk.ru/account/1760000315/", 1760000315)</f>
        <v>1760000315</v>
      </c>
      <c r="D1704">
        <v>1724.68</v>
      </c>
    </row>
    <row r="1705" spans="1:4" x14ac:dyDescent="0.25">
      <c r="A1705" t="s">
        <v>390</v>
      </c>
      <c r="B1705" t="s">
        <v>108</v>
      </c>
      <c r="C1705" s="2">
        <f>HYPERLINK("https://svao.dolgi.msk.ru/account/1760000331/", 1760000331)</f>
        <v>1760000331</v>
      </c>
      <c r="D1705">
        <v>5683.96</v>
      </c>
    </row>
    <row r="1706" spans="1:4" x14ac:dyDescent="0.25">
      <c r="A1706" t="s">
        <v>390</v>
      </c>
      <c r="B1706" t="s">
        <v>17</v>
      </c>
      <c r="C1706" s="2">
        <f>HYPERLINK("https://svao.dolgi.msk.ru/account/1760000366/", 1760000366)</f>
        <v>1760000366</v>
      </c>
      <c r="D1706">
        <v>1458.38</v>
      </c>
    </row>
    <row r="1707" spans="1:4" x14ac:dyDescent="0.25">
      <c r="A1707" t="s">
        <v>390</v>
      </c>
      <c r="B1707" t="s">
        <v>18</v>
      </c>
      <c r="C1707" s="2">
        <f>HYPERLINK("https://svao.dolgi.msk.ru/account/1760000374/", 1760000374)</f>
        <v>1760000374</v>
      </c>
      <c r="D1707">
        <v>52997.120000000003</v>
      </c>
    </row>
    <row r="1708" spans="1:4" x14ac:dyDescent="0.25">
      <c r="A1708" t="s">
        <v>390</v>
      </c>
      <c r="B1708" t="s">
        <v>93</v>
      </c>
      <c r="C1708" s="2">
        <f>HYPERLINK("https://svao.dolgi.msk.ru/account/1760000462/", 1760000462)</f>
        <v>1760000462</v>
      </c>
      <c r="D1708">
        <v>5023.0200000000004</v>
      </c>
    </row>
    <row r="1709" spans="1:4" x14ac:dyDescent="0.25">
      <c r="A1709" t="s">
        <v>390</v>
      </c>
      <c r="B1709" t="s">
        <v>111</v>
      </c>
      <c r="C1709" s="2">
        <f>HYPERLINK("https://svao.dolgi.msk.ru/account/1760000489/", 1760000489)</f>
        <v>1760000489</v>
      </c>
      <c r="D1709">
        <v>3946.03</v>
      </c>
    </row>
    <row r="1710" spans="1:4" x14ac:dyDescent="0.25">
      <c r="A1710" t="s">
        <v>390</v>
      </c>
      <c r="B1710" t="s">
        <v>112</v>
      </c>
      <c r="C1710" s="2">
        <f>HYPERLINK("https://svao.dolgi.msk.ru/account/1760000518/", 1760000518)</f>
        <v>1760000518</v>
      </c>
      <c r="D1710">
        <v>3209.81</v>
      </c>
    </row>
    <row r="1711" spans="1:4" x14ac:dyDescent="0.25">
      <c r="A1711" t="s">
        <v>390</v>
      </c>
      <c r="B1711" t="s">
        <v>113</v>
      </c>
      <c r="C1711" s="2">
        <f>HYPERLINK("https://svao.dolgi.msk.ru/account/1760000526/", 1760000526)</f>
        <v>1760000526</v>
      </c>
      <c r="D1711">
        <v>4897.4399999999996</v>
      </c>
    </row>
    <row r="1712" spans="1:4" x14ac:dyDescent="0.25">
      <c r="A1712" t="s">
        <v>390</v>
      </c>
      <c r="B1712" t="s">
        <v>21</v>
      </c>
      <c r="C1712" s="2">
        <f>HYPERLINK("https://svao.dolgi.msk.ru/account/1760000534/", 1760000534)</f>
        <v>1760000534</v>
      </c>
      <c r="D1712">
        <v>16700.28</v>
      </c>
    </row>
    <row r="1713" spans="1:4" x14ac:dyDescent="0.25">
      <c r="A1713" t="s">
        <v>390</v>
      </c>
      <c r="B1713" t="s">
        <v>21</v>
      </c>
      <c r="C1713" s="2">
        <f>HYPERLINK("https://svao.dolgi.msk.ru/account/1760272214/", 1760272214)</f>
        <v>1760272214</v>
      </c>
      <c r="D1713">
        <v>6373.51</v>
      </c>
    </row>
    <row r="1714" spans="1:4" x14ac:dyDescent="0.25">
      <c r="A1714" t="s">
        <v>390</v>
      </c>
      <c r="B1714" t="s">
        <v>77</v>
      </c>
      <c r="C1714" s="2">
        <f>HYPERLINK("https://svao.dolgi.msk.ru/account/1760000542/", 1760000542)</f>
        <v>1760000542</v>
      </c>
      <c r="D1714">
        <v>7278.36</v>
      </c>
    </row>
    <row r="1715" spans="1:4" x14ac:dyDescent="0.25">
      <c r="A1715" t="s">
        <v>390</v>
      </c>
      <c r="B1715" t="s">
        <v>114</v>
      </c>
      <c r="C1715" s="2">
        <f>HYPERLINK("https://svao.dolgi.msk.ru/account/1760000569/", 1760000569)</f>
        <v>1760000569</v>
      </c>
      <c r="D1715">
        <v>435.84</v>
      </c>
    </row>
    <row r="1716" spans="1:4" x14ac:dyDescent="0.25">
      <c r="A1716" t="s">
        <v>390</v>
      </c>
      <c r="B1716" t="s">
        <v>114</v>
      </c>
      <c r="C1716" s="2">
        <f>HYPERLINK("https://svao.dolgi.msk.ru/account/1760253742/", 1760253742)</f>
        <v>1760253742</v>
      </c>
      <c r="D1716">
        <v>1245.1099999999999</v>
      </c>
    </row>
    <row r="1717" spans="1:4" x14ac:dyDescent="0.25">
      <c r="A1717" t="s">
        <v>390</v>
      </c>
      <c r="B1717" t="s">
        <v>114</v>
      </c>
      <c r="C1717" s="2">
        <f>HYPERLINK("https://svao.dolgi.msk.ru/account/1760278798/", 1760278798)</f>
        <v>1760278798</v>
      </c>
      <c r="D1717">
        <v>2010.25</v>
      </c>
    </row>
    <row r="1718" spans="1:4" x14ac:dyDescent="0.25">
      <c r="A1718" t="s">
        <v>390</v>
      </c>
      <c r="B1718" t="s">
        <v>79</v>
      </c>
      <c r="C1718" s="2">
        <f>HYPERLINK("https://svao.dolgi.msk.ru/account/1760000593/", 1760000593)</f>
        <v>1760000593</v>
      </c>
      <c r="D1718">
        <v>8851.08</v>
      </c>
    </row>
    <row r="1719" spans="1:4" x14ac:dyDescent="0.25">
      <c r="A1719" t="s">
        <v>390</v>
      </c>
      <c r="B1719" t="s">
        <v>117</v>
      </c>
      <c r="C1719" s="2">
        <f>HYPERLINK("https://svao.dolgi.msk.ru/account/1760000622/", 1760000622)</f>
        <v>1760000622</v>
      </c>
      <c r="D1719">
        <v>6714.95</v>
      </c>
    </row>
    <row r="1720" spans="1:4" x14ac:dyDescent="0.25">
      <c r="A1720" t="s">
        <v>390</v>
      </c>
      <c r="B1720" t="s">
        <v>320</v>
      </c>
      <c r="C1720" s="2">
        <f>HYPERLINK("https://svao.dolgi.msk.ru/account/1760000657/", 1760000657)</f>
        <v>1760000657</v>
      </c>
      <c r="D1720">
        <v>308439.5</v>
      </c>
    </row>
    <row r="1721" spans="1:4" x14ac:dyDescent="0.25">
      <c r="A1721" t="s">
        <v>390</v>
      </c>
      <c r="B1721" t="s">
        <v>126</v>
      </c>
      <c r="C1721" s="2">
        <f>HYPERLINK("https://svao.dolgi.msk.ru/account/1760000745/", 1760000745)</f>
        <v>1760000745</v>
      </c>
      <c r="D1721">
        <v>12193.44</v>
      </c>
    </row>
    <row r="1722" spans="1:4" x14ac:dyDescent="0.25">
      <c r="A1722" t="s">
        <v>390</v>
      </c>
      <c r="B1722" t="s">
        <v>127</v>
      </c>
      <c r="C1722" s="2">
        <f>HYPERLINK("https://svao.dolgi.msk.ru/account/1760000788/", 1760000788)</f>
        <v>1760000788</v>
      </c>
      <c r="D1722">
        <v>376.68</v>
      </c>
    </row>
    <row r="1723" spans="1:4" x14ac:dyDescent="0.25">
      <c r="A1723" t="s">
        <v>390</v>
      </c>
      <c r="B1723" t="s">
        <v>25</v>
      </c>
      <c r="C1723" s="2">
        <f>HYPERLINK("https://svao.dolgi.msk.ru/account/1760000841/", 1760000841)</f>
        <v>1760000841</v>
      </c>
      <c r="D1723">
        <v>9069.14</v>
      </c>
    </row>
    <row r="1724" spans="1:4" x14ac:dyDescent="0.25">
      <c r="A1724" t="s">
        <v>390</v>
      </c>
      <c r="B1724" t="s">
        <v>132</v>
      </c>
      <c r="C1724" s="2">
        <f>HYPERLINK("https://svao.dolgi.msk.ru/account/1760000876/", 1760000876)</f>
        <v>1760000876</v>
      </c>
      <c r="D1724">
        <v>2772.81</v>
      </c>
    </row>
    <row r="1725" spans="1:4" x14ac:dyDescent="0.25">
      <c r="A1725" t="s">
        <v>390</v>
      </c>
      <c r="B1725" t="s">
        <v>26</v>
      </c>
      <c r="C1725" s="2">
        <f>HYPERLINK("https://svao.dolgi.msk.ru/account/1760000884/", 1760000884)</f>
        <v>1760000884</v>
      </c>
      <c r="D1725">
        <v>2142.46</v>
      </c>
    </row>
    <row r="1726" spans="1:4" x14ac:dyDescent="0.25">
      <c r="A1726" t="s">
        <v>390</v>
      </c>
      <c r="B1726" t="s">
        <v>133</v>
      </c>
      <c r="C1726" s="2">
        <f>HYPERLINK("https://svao.dolgi.msk.ru/account/1760000892/", 1760000892)</f>
        <v>1760000892</v>
      </c>
      <c r="D1726">
        <v>4329.9399999999996</v>
      </c>
    </row>
    <row r="1727" spans="1:4" x14ac:dyDescent="0.25">
      <c r="A1727" t="s">
        <v>390</v>
      </c>
      <c r="B1727" t="s">
        <v>243</v>
      </c>
      <c r="C1727" s="2">
        <f>HYPERLINK("https://svao.dolgi.msk.ru/account/1760000948/", 1760000948)</f>
        <v>1760000948</v>
      </c>
      <c r="D1727">
        <v>320430.5</v>
      </c>
    </row>
    <row r="1728" spans="1:4" x14ac:dyDescent="0.25">
      <c r="A1728" t="s">
        <v>390</v>
      </c>
      <c r="B1728" t="s">
        <v>121</v>
      </c>
      <c r="C1728" s="2">
        <f>HYPERLINK("https://svao.dolgi.msk.ru/account/1760000956/", 1760000956)</f>
        <v>1760000956</v>
      </c>
      <c r="D1728">
        <v>4063.91</v>
      </c>
    </row>
    <row r="1729" spans="1:4" x14ac:dyDescent="0.25">
      <c r="A1729" t="s">
        <v>390</v>
      </c>
      <c r="B1729" t="s">
        <v>134</v>
      </c>
      <c r="C1729" s="2">
        <f>HYPERLINK("https://svao.dolgi.msk.ru/account/1760000964/", 1760000964)</f>
        <v>1760000964</v>
      </c>
      <c r="D1729">
        <v>476</v>
      </c>
    </row>
    <row r="1730" spans="1:4" x14ac:dyDescent="0.25">
      <c r="A1730" t="s">
        <v>391</v>
      </c>
      <c r="B1730" t="s">
        <v>6</v>
      </c>
      <c r="C1730" s="2">
        <f>HYPERLINK("https://svao.dolgi.msk.ru/account/1760009563/", 1760009563)</f>
        <v>1760009563</v>
      </c>
      <c r="D1730">
        <v>102.87</v>
      </c>
    </row>
    <row r="1731" spans="1:4" x14ac:dyDescent="0.25">
      <c r="A1731" t="s">
        <v>391</v>
      </c>
      <c r="B1731" t="s">
        <v>7</v>
      </c>
      <c r="C1731" s="2">
        <f>HYPERLINK("https://svao.dolgi.msk.ru/account/1760009619/", 1760009619)</f>
        <v>1760009619</v>
      </c>
      <c r="D1731">
        <v>2490.94</v>
      </c>
    </row>
    <row r="1732" spans="1:4" x14ac:dyDescent="0.25">
      <c r="A1732" t="s">
        <v>391</v>
      </c>
      <c r="B1732" t="s">
        <v>103</v>
      </c>
      <c r="C1732" s="2">
        <f>HYPERLINK("https://svao.dolgi.msk.ru/account/1760009651/", 1760009651)</f>
        <v>1760009651</v>
      </c>
      <c r="D1732">
        <v>12875.14</v>
      </c>
    </row>
    <row r="1733" spans="1:4" x14ac:dyDescent="0.25">
      <c r="A1733" t="s">
        <v>391</v>
      </c>
      <c r="B1733" t="s">
        <v>74</v>
      </c>
      <c r="C1733" s="2">
        <f>HYPERLINK("https://svao.dolgi.msk.ru/account/1760009707/", 1760009707)</f>
        <v>1760009707</v>
      </c>
      <c r="D1733">
        <v>4484.88</v>
      </c>
    </row>
    <row r="1734" spans="1:4" x14ac:dyDescent="0.25">
      <c r="A1734" t="s">
        <v>391</v>
      </c>
      <c r="B1734" t="s">
        <v>13</v>
      </c>
      <c r="C1734" s="2">
        <f>HYPERLINK("https://svao.dolgi.msk.ru/account/1760009811/", 1760009811)</f>
        <v>1760009811</v>
      </c>
      <c r="D1734">
        <v>15602.71</v>
      </c>
    </row>
    <row r="1735" spans="1:4" x14ac:dyDescent="0.25">
      <c r="A1735" t="s">
        <v>391</v>
      </c>
      <c r="B1735" t="s">
        <v>14</v>
      </c>
      <c r="C1735" s="2">
        <f>HYPERLINK("https://svao.dolgi.msk.ru/account/1760009838/", 1760009838)</f>
        <v>1760009838</v>
      </c>
      <c r="D1735">
        <v>2917.1</v>
      </c>
    </row>
    <row r="1736" spans="1:4" x14ac:dyDescent="0.25">
      <c r="A1736" t="s">
        <v>391</v>
      </c>
      <c r="B1736" t="s">
        <v>106</v>
      </c>
      <c r="C1736" s="2">
        <f>HYPERLINK("https://svao.dolgi.msk.ru/account/1760009846/", 1760009846)</f>
        <v>1760009846</v>
      </c>
      <c r="D1736">
        <v>170484.87</v>
      </c>
    </row>
    <row r="1737" spans="1:4" x14ac:dyDescent="0.25">
      <c r="A1737" t="s">
        <v>391</v>
      </c>
      <c r="B1737" t="s">
        <v>15</v>
      </c>
      <c r="C1737" s="2">
        <f>HYPERLINK("https://svao.dolgi.msk.ru/account/1760009862/", 1760009862)</f>
        <v>1760009862</v>
      </c>
      <c r="D1737">
        <v>4081.6</v>
      </c>
    </row>
    <row r="1738" spans="1:4" x14ac:dyDescent="0.25">
      <c r="A1738" t="s">
        <v>391</v>
      </c>
      <c r="B1738" t="s">
        <v>16</v>
      </c>
      <c r="C1738" s="2">
        <f>HYPERLINK("https://svao.dolgi.msk.ru/account/1760009897/", 1760009897)</f>
        <v>1760009897</v>
      </c>
      <c r="D1738">
        <v>6390.13</v>
      </c>
    </row>
    <row r="1739" spans="1:4" x14ac:dyDescent="0.25">
      <c r="A1739" t="s">
        <v>391</v>
      </c>
      <c r="B1739" t="s">
        <v>18</v>
      </c>
      <c r="C1739" s="2">
        <f>HYPERLINK("https://svao.dolgi.msk.ru/account/1760009926/", 1760009926)</f>
        <v>1760009926</v>
      </c>
      <c r="D1739">
        <v>5748.83</v>
      </c>
    </row>
    <row r="1740" spans="1:4" x14ac:dyDescent="0.25">
      <c r="A1740" t="s">
        <v>391</v>
      </c>
      <c r="B1740" t="s">
        <v>109</v>
      </c>
      <c r="C1740" s="2">
        <f>HYPERLINK("https://svao.dolgi.msk.ru/account/1760009942/", 1760009942)</f>
        <v>1760009942</v>
      </c>
      <c r="D1740">
        <v>5694.07</v>
      </c>
    </row>
    <row r="1741" spans="1:4" x14ac:dyDescent="0.25">
      <c r="A1741" t="s">
        <v>391</v>
      </c>
      <c r="B1741" t="s">
        <v>92</v>
      </c>
      <c r="C1741" s="2">
        <f>HYPERLINK("https://svao.dolgi.msk.ru/account/1760009993/", 1760009993)</f>
        <v>1760009993</v>
      </c>
      <c r="D1741">
        <v>6122.17</v>
      </c>
    </row>
    <row r="1742" spans="1:4" x14ac:dyDescent="0.25">
      <c r="A1742" t="s">
        <v>391</v>
      </c>
      <c r="B1742" t="s">
        <v>112</v>
      </c>
      <c r="C1742" s="2">
        <f>HYPERLINK("https://svao.dolgi.msk.ru/account/1760010046/", 1760010046)</f>
        <v>1760010046</v>
      </c>
      <c r="D1742">
        <v>5230.17</v>
      </c>
    </row>
    <row r="1743" spans="1:4" x14ac:dyDescent="0.25">
      <c r="A1743" t="s">
        <v>391</v>
      </c>
      <c r="B1743" t="s">
        <v>77</v>
      </c>
      <c r="C1743" s="2">
        <f>HYPERLINK("https://svao.dolgi.msk.ru/account/1760010089/", 1760010089)</f>
        <v>1760010089</v>
      </c>
      <c r="D1743">
        <v>9842.59</v>
      </c>
    </row>
    <row r="1744" spans="1:4" x14ac:dyDescent="0.25">
      <c r="A1744" t="s">
        <v>391</v>
      </c>
      <c r="B1744" t="s">
        <v>242</v>
      </c>
      <c r="C1744" s="2">
        <f>HYPERLINK("https://svao.dolgi.msk.ru/account/1760010222/", 1760010222)</f>
        <v>1760010222</v>
      </c>
      <c r="D1744">
        <v>5894.06</v>
      </c>
    </row>
    <row r="1745" spans="1:4" x14ac:dyDescent="0.25">
      <c r="A1745" t="s">
        <v>391</v>
      </c>
      <c r="B1745" t="s">
        <v>81</v>
      </c>
      <c r="C1745" s="2">
        <f>HYPERLINK("https://svao.dolgi.msk.ru/account/1760010337/", 1760010337)</f>
        <v>1760010337</v>
      </c>
      <c r="D1745">
        <v>7766.87</v>
      </c>
    </row>
    <row r="1746" spans="1:4" x14ac:dyDescent="0.25">
      <c r="A1746" t="s">
        <v>391</v>
      </c>
      <c r="B1746" t="s">
        <v>120</v>
      </c>
      <c r="C1746" s="2">
        <f>HYPERLINK("https://svao.dolgi.msk.ru/account/1760010353/", 1760010353)</f>
        <v>1760010353</v>
      </c>
      <c r="D1746">
        <v>3071.89</v>
      </c>
    </row>
    <row r="1747" spans="1:4" x14ac:dyDescent="0.25">
      <c r="A1747" t="s">
        <v>391</v>
      </c>
      <c r="B1747" t="s">
        <v>128</v>
      </c>
      <c r="C1747" s="2">
        <f>HYPERLINK("https://svao.dolgi.msk.ru/account/1760010388/", 1760010388)</f>
        <v>1760010388</v>
      </c>
      <c r="D1747">
        <v>8917.4599999999991</v>
      </c>
    </row>
    <row r="1748" spans="1:4" x14ac:dyDescent="0.25">
      <c r="A1748" t="s">
        <v>391</v>
      </c>
      <c r="B1748" t="s">
        <v>132</v>
      </c>
      <c r="C1748" s="2">
        <f>HYPERLINK("https://svao.dolgi.msk.ru/account/1760010417/", 1760010417)</f>
        <v>1760010417</v>
      </c>
      <c r="D1748">
        <v>5952.67</v>
      </c>
    </row>
    <row r="1749" spans="1:4" x14ac:dyDescent="0.25">
      <c r="A1749" t="s">
        <v>391</v>
      </c>
      <c r="B1749" t="s">
        <v>26</v>
      </c>
      <c r="C1749" s="2">
        <f>HYPERLINK("https://svao.dolgi.msk.ru/account/1760010425/", 1760010425)</f>
        <v>1760010425</v>
      </c>
      <c r="D1749">
        <v>431.81</v>
      </c>
    </row>
    <row r="1750" spans="1:4" x14ac:dyDescent="0.25">
      <c r="A1750" t="s">
        <v>391</v>
      </c>
      <c r="B1750" t="s">
        <v>133</v>
      </c>
      <c r="C1750" s="2">
        <f>HYPERLINK("https://svao.dolgi.msk.ru/account/1760010433/", 1760010433)</f>
        <v>1760010433</v>
      </c>
      <c r="D1750">
        <v>4422.28</v>
      </c>
    </row>
    <row r="1751" spans="1:4" x14ac:dyDescent="0.25">
      <c r="A1751" t="s">
        <v>392</v>
      </c>
      <c r="B1751" t="s">
        <v>6</v>
      </c>
      <c r="C1751" s="2">
        <f>HYPERLINK("https://svao.dolgi.msk.ru/account/1760014207/", 1760014207)</f>
        <v>1760014207</v>
      </c>
      <c r="D1751">
        <v>3281.44</v>
      </c>
    </row>
    <row r="1752" spans="1:4" x14ac:dyDescent="0.25">
      <c r="A1752" t="s">
        <v>392</v>
      </c>
      <c r="B1752" t="s">
        <v>41</v>
      </c>
      <c r="C1752" s="2">
        <f>HYPERLINK("https://svao.dolgi.msk.ru/account/1760014215/", 1760014215)</f>
        <v>1760014215</v>
      </c>
      <c r="D1752">
        <v>2920.2</v>
      </c>
    </row>
    <row r="1753" spans="1:4" x14ac:dyDescent="0.25">
      <c r="A1753" t="s">
        <v>392</v>
      </c>
      <c r="B1753" t="s">
        <v>103</v>
      </c>
      <c r="C1753" s="2">
        <f>HYPERLINK("https://svao.dolgi.msk.ru/account/1760014282/", 1760014282)</f>
        <v>1760014282</v>
      </c>
      <c r="D1753">
        <v>6034.04</v>
      </c>
    </row>
    <row r="1754" spans="1:4" x14ac:dyDescent="0.25">
      <c r="A1754" t="s">
        <v>392</v>
      </c>
      <c r="B1754" t="s">
        <v>104</v>
      </c>
      <c r="C1754" s="2">
        <f>HYPERLINK("https://svao.dolgi.msk.ru/account/1760014311/", 1760014311)</f>
        <v>1760014311</v>
      </c>
      <c r="D1754">
        <v>5421.73</v>
      </c>
    </row>
    <row r="1755" spans="1:4" x14ac:dyDescent="0.25">
      <c r="A1755" t="s">
        <v>392</v>
      </c>
      <c r="B1755" t="s">
        <v>8</v>
      </c>
      <c r="C1755" s="2">
        <f>HYPERLINK("https://svao.dolgi.msk.ru/account/1760014338/", 1760014338)</f>
        <v>1760014338</v>
      </c>
      <c r="D1755">
        <v>11941.63</v>
      </c>
    </row>
    <row r="1756" spans="1:4" x14ac:dyDescent="0.25">
      <c r="A1756" t="s">
        <v>392</v>
      </c>
      <c r="B1756" t="s">
        <v>9</v>
      </c>
      <c r="C1756" s="2">
        <f>HYPERLINK("https://svao.dolgi.msk.ru/account/1760014362/", 1760014362)</f>
        <v>1760014362</v>
      </c>
      <c r="D1756">
        <v>5382.83</v>
      </c>
    </row>
    <row r="1757" spans="1:4" x14ac:dyDescent="0.25">
      <c r="A1757" t="s">
        <v>392</v>
      </c>
      <c r="B1757" t="s">
        <v>75</v>
      </c>
      <c r="C1757" s="2">
        <f>HYPERLINK("https://svao.dolgi.msk.ru/account/1760014389/", 1760014389)</f>
        <v>1760014389</v>
      </c>
      <c r="D1757">
        <v>3689.67</v>
      </c>
    </row>
    <row r="1758" spans="1:4" x14ac:dyDescent="0.25">
      <c r="A1758" t="s">
        <v>392</v>
      </c>
      <c r="B1758" t="s">
        <v>75</v>
      </c>
      <c r="C1758" s="2">
        <f>HYPERLINK("https://svao.dolgi.msk.ru/account/1761793214/", 1761793214)</f>
        <v>1761793214</v>
      </c>
      <c r="D1758">
        <v>3580.11</v>
      </c>
    </row>
    <row r="1759" spans="1:4" x14ac:dyDescent="0.25">
      <c r="A1759" t="s">
        <v>392</v>
      </c>
      <c r="B1759" t="s">
        <v>91</v>
      </c>
      <c r="C1759" s="2">
        <f>HYPERLINK("https://svao.dolgi.msk.ru/account/1760014397/", 1760014397)</f>
        <v>1760014397</v>
      </c>
      <c r="D1759">
        <v>5147.5200000000004</v>
      </c>
    </row>
    <row r="1760" spans="1:4" x14ac:dyDescent="0.25">
      <c r="A1760" t="s">
        <v>392</v>
      </c>
      <c r="B1760" t="s">
        <v>12</v>
      </c>
      <c r="C1760" s="2">
        <f>HYPERLINK("https://svao.dolgi.msk.ru/account/1760014442/", 1760014442)</f>
        <v>1760014442</v>
      </c>
      <c r="D1760">
        <v>2183.75</v>
      </c>
    </row>
    <row r="1761" spans="1:4" x14ac:dyDescent="0.25">
      <c r="A1761" t="s">
        <v>392</v>
      </c>
      <c r="B1761" t="s">
        <v>108</v>
      </c>
      <c r="C1761" s="2">
        <f>HYPERLINK("https://svao.dolgi.msk.ru/account/1760014514/", 1760014514)</f>
        <v>1760014514</v>
      </c>
      <c r="D1761">
        <v>270064.46999999997</v>
      </c>
    </row>
    <row r="1762" spans="1:4" x14ac:dyDescent="0.25">
      <c r="A1762" t="s">
        <v>392</v>
      </c>
      <c r="B1762" t="s">
        <v>17</v>
      </c>
      <c r="C1762" s="2">
        <f>HYPERLINK("https://svao.dolgi.msk.ru/account/1760014549/", 1760014549)</f>
        <v>1760014549</v>
      </c>
      <c r="D1762">
        <v>1729.86</v>
      </c>
    </row>
    <row r="1763" spans="1:4" x14ac:dyDescent="0.25">
      <c r="A1763" t="s">
        <v>392</v>
      </c>
      <c r="B1763" t="s">
        <v>19</v>
      </c>
      <c r="C1763" s="2">
        <f>HYPERLINK("https://svao.dolgi.msk.ru/account/1760014565/", 1760014565)</f>
        <v>1760014565</v>
      </c>
      <c r="D1763">
        <v>18441.900000000001</v>
      </c>
    </row>
    <row r="1764" spans="1:4" x14ac:dyDescent="0.25">
      <c r="A1764" t="s">
        <v>392</v>
      </c>
      <c r="B1764" t="s">
        <v>109</v>
      </c>
      <c r="C1764" s="2">
        <f>HYPERLINK("https://svao.dolgi.msk.ru/account/1760014573/", 1760014573)</f>
        <v>1760014573</v>
      </c>
      <c r="D1764">
        <v>5494.89</v>
      </c>
    </row>
    <row r="1765" spans="1:4" x14ac:dyDescent="0.25">
      <c r="A1765" t="s">
        <v>392</v>
      </c>
      <c r="B1765" t="s">
        <v>20</v>
      </c>
      <c r="C1765" s="2">
        <f>HYPERLINK("https://svao.dolgi.msk.ru/account/1760014602/", 1760014602)</f>
        <v>1760014602</v>
      </c>
      <c r="D1765">
        <v>389.77</v>
      </c>
    </row>
    <row r="1766" spans="1:4" x14ac:dyDescent="0.25">
      <c r="A1766" t="s">
        <v>392</v>
      </c>
      <c r="B1766" t="s">
        <v>92</v>
      </c>
      <c r="C1766" s="2">
        <f>HYPERLINK("https://svao.dolgi.msk.ru/account/1760014637/", 1760014637)</f>
        <v>1760014637</v>
      </c>
      <c r="D1766">
        <v>5814.77</v>
      </c>
    </row>
    <row r="1767" spans="1:4" x14ac:dyDescent="0.25">
      <c r="A1767" t="s">
        <v>392</v>
      </c>
      <c r="B1767" t="s">
        <v>94</v>
      </c>
      <c r="C1767" s="2">
        <f>HYPERLINK("https://svao.dolgi.msk.ru/account/1760014661/", 1760014661)</f>
        <v>1760014661</v>
      </c>
      <c r="D1767">
        <v>205168.64000000001</v>
      </c>
    </row>
    <row r="1768" spans="1:4" x14ac:dyDescent="0.25">
      <c r="A1768" t="s">
        <v>392</v>
      </c>
      <c r="B1768" t="s">
        <v>124</v>
      </c>
      <c r="C1768" s="2">
        <f>HYPERLINK("https://svao.dolgi.msk.ru/account/1760014784/", 1760014784)</f>
        <v>1760014784</v>
      </c>
      <c r="D1768">
        <v>4735.54</v>
      </c>
    </row>
    <row r="1769" spans="1:4" x14ac:dyDescent="0.25">
      <c r="A1769" t="s">
        <v>392</v>
      </c>
      <c r="B1769" t="s">
        <v>314</v>
      </c>
      <c r="C1769" s="2">
        <f>HYPERLINK("https://svao.dolgi.msk.ru/account/1760014848/", 1760014848)</f>
        <v>1760014848</v>
      </c>
      <c r="D1769">
        <v>2274.5300000000002</v>
      </c>
    </row>
    <row r="1770" spans="1:4" x14ac:dyDescent="0.25">
      <c r="A1770" t="s">
        <v>392</v>
      </c>
      <c r="B1770" t="s">
        <v>125</v>
      </c>
      <c r="C1770" s="2">
        <f>HYPERLINK("https://svao.dolgi.msk.ru/account/1760014899/", 1760014899)</f>
        <v>1760014899</v>
      </c>
      <c r="D1770">
        <v>15446.26</v>
      </c>
    </row>
    <row r="1771" spans="1:4" x14ac:dyDescent="0.25">
      <c r="A1771" t="s">
        <v>392</v>
      </c>
      <c r="B1771" t="s">
        <v>120</v>
      </c>
      <c r="C1771" s="2">
        <f>HYPERLINK("https://svao.dolgi.msk.ru/account/1760014987/", 1760014987)</f>
        <v>1760014987</v>
      </c>
      <c r="D1771">
        <v>5064.46</v>
      </c>
    </row>
    <row r="1772" spans="1:4" x14ac:dyDescent="0.25">
      <c r="A1772" t="s">
        <v>392</v>
      </c>
      <c r="B1772" t="s">
        <v>25</v>
      </c>
      <c r="C1772" s="2">
        <f>HYPERLINK("https://svao.dolgi.msk.ru/account/1761795754/", 1761795754)</f>
        <v>1761795754</v>
      </c>
      <c r="D1772">
        <v>4020.32</v>
      </c>
    </row>
    <row r="1773" spans="1:4" x14ac:dyDescent="0.25">
      <c r="A1773" t="s">
        <v>392</v>
      </c>
      <c r="B1773" t="s">
        <v>26</v>
      </c>
      <c r="C1773" s="2">
        <f>HYPERLINK("https://svao.dolgi.msk.ru/account/1760015058/", 1760015058)</f>
        <v>1760015058</v>
      </c>
      <c r="D1773">
        <v>321.47000000000003</v>
      </c>
    </row>
    <row r="1774" spans="1:4" x14ac:dyDescent="0.25">
      <c r="A1774" t="s">
        <v>392</v>
      </c>
      <c r="B1774" t="s">
        <v>133</v>
      </c>
      <c r="C1774" s="2">
        <f>HYPERLINK("https://svao.dolgi.msk.ru/account/1760015066/", 1760015066)</f>
        <v>1760015066</v>
      </c>
      <c r="D1774">
        <v>299235</v>
      </c>
    </row>
    <row r="1775" spans="1:4" x14ac:dyDescent="0.25">
      <c r="A1775" t="s">
        <v>392</v>
      </c>
      <c r="B1775" t="s">
        <v>290</v>
      </c>
      <c r="C1775" s="2">
        <f>HYPERLINK("https://svao.dolgi.msk.ru/account/1760015103/", 1760015103)</f>
        <v>1760015103</v>
      </c>
      <c r="D1775">
        <v>5402.39</v>
      </c>
    </row>
    <row r="1776" spans="1:4" x14ac:dyDescent="0.25">
      <c r="A1776" t="s">
        <v>393</v>
      </c>
      <c r="B1776" t="s">
        <v>7</v>
      </c>
      <c r="C1776" s="2">
        <f>HYPERLINK("https://svao.dolgi.msk.ru/account/1760117257/", 1760117257)</f>
        <v>1760117257</v>
      </c>
      <c r="D1776">
        <v>4519</v>
      </c>
    </row>
    <row r="1777" spans="1:4" x14ac:dyDescent="0.25">
      <c r="A1777" t="s">
        <v>393</v>
      </c>
      <c r="B1777" t="s">
        <v>101</v>
      </c>
      <c r="C1777" s="2">
        <f>HYPERLINK("https://svao.dolgi.msk.ru/account/1760117265/", 1760117265)</f>
        <v>1760117265</v>
      </c>
      <c r="D1777">
        <v>6418.65</v>
      </c>
    </row>
    <row r="1778" spans="1:4" x14ac:dyDescent="0.25">
      <c r="A1778" t="s">
        <v>393</v>
      </c>
      <c r="B1778" t="s">
        <v>141</v>
      </c>
      <c r="C1778" s="2">
        <f>HYPERLINK("https://svao.dolgi.msk.ru/account/1760117273/", 1760117273)</f>
        <v>1760117273</v>
      </c>
      <c r="D1778">
        <v>4349.04</v>
      </c>
    </row>
    <row r="1779" spans="1:4" x14ac:dyDescent="0.25">
      <c r="A1779" t="s">
        <v>393</v>
      </c>
      <c r="B1779" t="s">
        <v>8</v>
      </c>
      <c r="C1779" s="2">
        <f>HYPERLINK("https://svao.dolgi.msk.ru/account/1760117345/", 1760117345)</f>
        <v>1760117345</v>
      </c>
      <c r="D1779">
        <v>4970.51</v>
      </c>
    </row>
    <row r="1780" spans="1:4" x14ac:dyDescent="0.25">
      <c r="A1780" t="s">
        <v>393</v>
      </c>
      <c r="B1780" t="s">
        <v>9</v>
      </c>
      <c r="C1780" s="2">
        <f>HYPERLINK("https://svao.dolgi.msk.ru/account/1760117388/", 1760117388)</f>
        <v>1760117388</v>
      </c>
      <c r="D1780">
        <v>998.53</v>
      </c>
    </row>
    <row r="1781" spans="1:4" x14ac:dyDescent="0.25">
      <c r="A1781" t="s">
        <v>393</v>
      </c>
      <c r="B1781" t="s">
        <v>91</v>
      </c>
      <c r="C1781" s="2">
        <f>HYPERLINK("https://svao.dolgi.msk.ru/account/1760117409/", 1760117409)</f>
        <v>1760117409</v>
      </c>
      <c r="D1781">
        <v>5645.66</v>
      </c>
    </row>
    <row r="1782" spans="1:4" x14ac:dyDescent="0.25">
      <c r="A1782" t="s">
        <v>393</v>
      </c>
      <c r="B1782" t="s">
        <v>13</v>
      </c>
      <c r="C1782" s="2">
        <f>HYPERLINK("https://svao.dolgi.msk.ru/account/1760117468/", 1760117468)</f>
        <v>1760117468</v>
      </c>
      <c r="D1782">
        <v>3665.52</v>
      </c>
    </row>
    <row r="1783" spans="1:4" x14ac:dyDescent="0.25">
      <c r="A1783" t="s">
        <v>393</v>
      </c>
      <c r="B1783" t="s">
        <v>14</v>
      </c>
      <c r="C1783" s="2">
        <f>HYPERLINK("https://svao.dolgi.msk.ru/account/1760117476/", 1760117476)</f>
        <v>1760117476</v>
      </c>
      <c r="D1783">
        <v>1635.13</v>
      </c>
    </row>
    <row r="1784" spans="1:4" x14ac:dyDescent="0.25">
      <c r="A1784" t="s">
        <v>393</v>
      </c>
      <c r="B1784" t="s">
        <v>76</v>
      </c>
      <c r="C1784" s="2">
        <f>HYPERLINK("https://svao.dolgi.msk.ru/account/1760117628/", 1760117628)</f>
        <v>1760117628</v>
      </c>
      <c r="D1784">
        <v>4778.34</v>
      </c>
    </row>
    <row r="1785" spans="1:4" x14ac:dyDescent="0.25">
      <c r="A1785" t="s">
        <v>393</v>
      </c>
      <c r="B1785" t="s">
        <v>92</v>
      </c>
      <c r="C1785" s="2">
        <f>HYPERLINK("https://svao.dolgi.msk.ru/account/1760117636/", 1760117636)</f>
        <v>1760117636</v>
      </c>
      <c r="D1785">
        <v>4262.47</v>
      </c>
    </row>
    <row r="1786" spans="1:4" x14ac:dyDescent="0.25">
      <c r="A1786" t="s">
        <v>393</v>
      </c>
      <c r="B1786" t="s">
        <v>113</v>
      </c>
      <c r="C1786" s="2">
        <f>HYPERLINK("https://svao.dolgi.msk.ru/account/1760117695/", 1760117695)</f>
        <v>1760117695</v>
      </c>
      <c r="D1786">
        <v>3599.47</v>
      </c>
    </row>
    <row r="1787" spans="1:4" x14ac:dyDescent="0.25">
      <c r="A1787" t="s">
        <v>393</v>
      </c>
      <c r="B1787" t="s">
        <v>114</v>
      </c>
      <c r="C1787" s="2">
        <f>HYPERLINK("https://svao.dolgi.msk.ru/account/1760117724/", 1760117724)</f>
        <v>1760117724</v>
      </c>
      <c r="D1787">
        <v>257.62</v>
      </c>
    </row>
    <row r="1788" spans="1:4" x14ac:dyDescent="0.25">
      <c r="A1788" t="s">
        <v>393</v>
      </c>
      <c r="B1788" t="s">
        <v>22</v>
      </c>
      <c r="C1788" s="2">
        <f>HYPERLINK("https://svao.dolgi.msk.ru/account/1760117759/", 1760117759)</f>
        <v>1760117759</v>
      </c>
      <c r="D1788">
        <v>4362.6099999999997</v>
      </c>
    </row>
    <row r="1789" spans="1:4" x14ac:dyDescent="0.25">
      <c r="A1789" t="s">
        <v>393</v>
      </c>
      <c r="B1789" t="s">
        <v>320</v>
      </c>
      <c r="C1789" s="2">
        <f>HYPERLINK("https://svao.dolgi.msk.ru/account/1760117812/", 1760117812)</f>
        <v>1760117812</v>
      </c>
      <c r="D1789">
        <v>8727.4699999999993</v>
      </c>
    </row>
    <row r="1790" spans="1:4" x14ac:dyDescent="0.25">
      <c r="A1790" t="s">
        <v>393</v>
      </c>
      <c r="B1790" t="s">
        <v>24</v>
      </c>
      <c r="C1790" s="2">
        <f>HYPERLINK("https://svao.dolgi.msk.ru/account/1760117839/", 1760117839)</f>
        <v>1760117839</v>
      </c>
      <c r="D1790">
        <v>6120.75</v>
      </c>
    </row>
    <row r="1791" spans="1:4" x14ac:dyDescent="0.25">
      <c r="A1791" t="s">
        <v>393</v>
      </c>
      <c r="B1791" t="s">
        <v>131</v>
      </c>
      <c r="C1791" s="2">
        <f>HYPERLINK("https://svao.dolgi.msk.ru/account/1760117871/", 1760117871)</f>
        <v>1760117871</v>
      </c>
      <c r="D1791">
        <v>2835.49</v>
      </c>
    </row>
    <row r="1792" spans="1:4" x14ac:dyDescent="0.25">
      <c r="A1792" t="s">
        <v>393</v>
      </c>
      <c r="B1792" t="s">
        <v>80</v>
      </c>
      <c r="C1792" s="2">
        <f>HYPERLINK("https://svao.dolgi.msk.ru/account/1760117927/", 1760117927)</f>
        <v>1760117927</v>
      </c>
      <c r="D1792">
        <v>869.9</v>
      </c>
    </row>
    <row r="1793" spans="1:4" x14ac:dyDescent="0.25">
      <c r="A1793" t="s">
        <v>393</v>
      </c>
      <c r="B1793" t="s">
        <v>127</v>
      </c>
      <c r="C1793" s="2">
        <f>HYPERLINK("https://svao.dolgi.msk.ru/account/1760117943/", 1760117943)</f>
        <v>1760117943</v>
      </c>
      <c r="D1793">
        <v>5610.08</v>
      </c>
    </row>
    <row r="1794" spans="1:4" x14ac:dyDescent="0.25">
      <c r="A1794" t="s">
        <v>393</v>
      </c>
      <c r="B1794" t="s">
        <v>119</v>
      </c>
      <c r="C1794" s="2">
        <f>HYPERLINK("https://svao.dolgi.msk.ru/account/1760117978/", 1760117978)</f>
        <v>1760117978</v>
      </c>
      <c r="D1794">
        <v>3323.28</v>
      </c>
    </row>
    <row r="1795" spans="1:4" x14ac:dyDescent="0.25">
      <c r="A1795" t="s">
        <v>393</v>
      </c>
      <c r="B1795" t="s">
        <v>120</v>
      </c>
      <c r="C1795" s="2">
        <f>HYPERLINK("https://svao.dolgi.msk.ru/account/1760117986/", 1760117986)</f>
        <v>1760117986</v>
      </c>
      <c r="D1795">
        <v>5228.13</v>
      </c>
    </row>
    <row r="1796" spans="1:4" x14ac:dyDescent="0.25">
      <c r="A1796" t="s">
        <v>393</v>
      </c>
      <c r="B1796" t="s">
        <v>82</v>
      </c>
      <c r="C1796" s="2">
        <f>HYPERLINK("https://svao.dolgi.msk.ru/account/1760117994/", 1760117994)</f>
        <v>1760117994</v>
      </c>
      <c r="D1796">
        <v>8678.76</v>
      </c>
    </row>
    <row r="1797" spans="1:4" x14ac:dyDescent="0.25">
      <c r="A1797" t="s">
        <v>393</v>
      </c>
      <c r="B1797" t="s">
        <v>26</v>
      </c>
      <c r="C1797" s="2">
        <f>HYPERLINK("https://svao.dolgi.msk.ru/account/1760118057/", 1760118057)</f>
        <v>1760118057</v>
      </c>
      <c r="D1797">
        <v>5684.33</v>
      </c>
    </row>
    <row r="1798" spans="1:4" x14ac:dyDescent="0.25">
      <c r="A1798" t="s">
        <v>393</v>
      </c>
      <c r="B1798" t="s">
        <v>27</v>
      </c>
      <c r="C1798" s="2">
        <f>HYPERLINK("https://svao.dolgi.msk.ru/account/1760118081/", 1760118081)</f>
        <v>1760118081</v>
      </c>
      <c r="D1798">
        <v>505.42</v>
      </c>
    </row>
    <row r="1799" spans="1:4" x14ac:dyDescent="0.25">
      <c r="A1799" t="s">
        <v>393</v>
      </c>
      <c r="B1799" t="s">
        <v>243</v>
      </c>
      <c r="C1799" s="2">
        <f>HYPERLINK("https://svao.dolgi.msk.ru/account/1760118129/", 1760118129)</f>
        <v>1760118129</v>
      </c>
      <c r="D1799">
        <v>2805.3</v>
      </c>
    </row>
    <row r="1800" spans="1:4" x14ac:dyDescent="0.25">
      <c r="A1800" t="s">
        <v>393</v>
      </c>
      <c r="B1800" t="s">
        <v>139</v>
      </c>
      <c r="C1800" s="2">
        <f>HYPERLINK("https://svao.dolgi.msk.ru/account/1760118153/", 1760118153)</f>
        <v>1760118153</v>
      </c>
      <c r="D1800">
        <v>4594.1000000000004</v>
      </c>
    </row>
    <row r="1801" spans="1:4" x14ac:dyDescent="0.25">
      <c r="A1801" t="s">
        <v>393</v>
      </c>
      <c r="B1801" t="s">
        <v>244</v>
      </c>
      <c r="C1801" s="2">
        <f>HYPERLINK("https://svao.dolgi.msk.ru/account/1760118196/", 1760118196)</f>
        <v>1760118196</v>
      </c>
      <c r="D1801">
        <v>3437.78</v>
      </c>
    </row>
    <row r="1802" spans="1:4" x14ac:dyDescent="0.25">
      <c r="A1802" t="s">
        <v>393</v>
      </c>
      <c r="B1802" t="s">
        <v>30</v>
      </c>
      <c r="C1802" s="2">
        <f>HYPERLINK("https://svao.dolgi.msk.ru/account/1760118217/", 1760118217)</f>
        <v>1760118217</v>
      </c>
      <c r="D1802">
        <v>13931.03</v>
      </c>
    </row>
    <row r="1803" spans="1:4" x14ac:dyDescent="0.25">
      <c r="A1803" t="s">
        <v>394</v>
      </c>
      <c r="B1803" t="s">
        <v>102</v>
      </c>
      <c r="C1803" s="2">
        <f>HYPERLINK("https://svao.dolgi.msk.ru/account/1760118305/", 1760118305)</f>
        <v>1760118305</v>
      </c>
      <c r="D1803">
        <v>2271.38</v>
      </c>
    </row>
    <row r="1804" spans="1:4" x14ac:dyDescent="0.25">
      <c r="A1804" t="s">
        <v>394</v>
      </c>
      <c r="B1804" t="s">
        <v>73</v>
      </c>
      <c r="C1804" s="2">
        <f>HYPERLINK("https://svao.dolgi.msk.ru/account/1760118321/", 1760118321)</f>
        <v>1760118321</v>
      </c>
      <c r="D1804">
        <v>6036.86</v>
      </c>
    </row>
    <row r="1805" spans="1:4" x14ac:dyDescent="0.25">
      <c r="A1805" t="s">
        <v>394</v>
      </c>
      <c r="B1805" t="s">
        <v>137</v>
      </c>
      <c r="C1805" s="2">
        <f>HYPERLINK("https://svao.dolgi.msk.ru/account/1760118372/", 1760118372)</f>
        <v>1760118372</v>
      </c>
      <c r="D1805">
        <v>1206.69</v>
      </c>
    </row>
    <row r="1806" spans="1:4" x14ac:dyDescent="0.25">
      <c r="A1806" t="s">
        <v>394</v>
      </c>
      <c r="B1806" t="s">
        <v>9</v>
      </c>
      <c r="C1806" s="2">
        <f>HYPERLINK("https://svao.dolgi.msk.ru/account/1760118399/", 1760118399)</f>
        <v>1760118399</v>
      </c>
      <c r="D1806">
        <v>4729.1899999999996</v>
      </c>
    </row>
    <row r="1807" spans="1:4" x14ac:dyDescent="0.25">
      <c r="A1807" t="s">
        <v>394</v>
      </c>
      <c r="B1807" t="s">
        <v>75</v>
      </c>
      <c r="C1807" s="2">
        <f>HYPERLINK("https://svao.dolgi.msk.ru/account/1760118401/", 1760118401)</f>
        <v>1760118401</v>
      </c>
      <c r="D1807">
        <v>4328.95</v>
      </c>
    </row>
    <row r="1808" spans="1:4" x14ac:dyDescent="0.25">
      <c r="A1808" t="s">
        <v>394</v>
      </c>
      <c r="B1808" t="s">
        <v>91</v>
      </c>
      <c r="C1808" s="2">
        <f>HYPERLINK("https://svao.dolgi.msk.ru/account/1760118428/", 1760118428)</f>
        <v>1760118428</v>
      </c>
      <c r="D1808">
        <v>156231.97</v>
      </c>
    </row>
    <row r="1809" spans="1:4" x14ac:dyDescent="0.25">
      <c r="A1809" t="s">
        <v>394</v>
      </c>
      <c r="B1809" t="s">
        <v>12</v>
      </c>
      <c r="C1809" s="2">
        <f>HYPERLINK("https://svao.dolgi.msk.ru/account/1760118479/", 1760118479)</f>
        <v>1760118479</v>
      </c>
      <c r="D1809">
        <v>86916.47</v>
      </c>
    </row>
    <row r="1810" spans="1:4" x14ac:dyDescent="0.25">
      <c r="A1810" t="s">
        <v>394</v>
      </c>
      <c r="B1810" t="s">
        <v>107</v>
      </c>
      <c r="C1810" s="2">
        <f>HYPERLINK("https://svao.dolgi.msk.ru/account/1760118516/", 1760118516)</f>
        <v>1760118516</v>
      </c>
      <c r="D1810">
        <v>7644.5</v>
      </c>
    </row>
    <row r="1811" spans="1:4" x14ac:dyDescent="0.25">
      <c r="A1811" t="s">
        <v>394</v>
      </c>
      <c r="B1811" t="s">
        <v>15</v>
      </c>
      <c r="C1811" s="2">
        <f>HYPERLINK("https://svao.dolgi.msk.ru/account/1760118524/", 1760118524)</f>
        <v>1760118524</v>
      </c>
      <c r="D1811">
        <v>4894.54</v>
      </c>
    </row>
    <row r="1812" spans="1:4" x14ac:dyDescent="0.25">
      <c r="A1812" t="s">
        <v>394</v>
      </c>
      <c r="B1812" t="s">
        <v>108</v>
      </c>
      <c r="C1812" s="2">
        <f>HYPERLINK("https://svao.dolgi.msk.ru/account/1760118532/", 1760118532)</f>
        <v>1760118532</v>
      </c>
      <c r="D1812">
        <v>4086.06</v>
      </c>
    </row>
    <row r="1813" spans="1:4" x14ac:dyDescent="0.25">
      <c r="A1813" t="s">
        <v>394</v>
      </c>
      <c r="B1813" t="s">
        <v>109</v>
      </c>
      <c r="C1813" s="2">
        <f>HYPERLINK("https://svao.dolgi.msk.ru/account/1760118591/", 1760118591)</f>
        <v>1760118591</v>
      </c>
      <c r="D1813">
        <v>6814.25</v>
      </c>
    </row>
    <row r="1814" spans="1:4" x14ac:dyDescent="0.25">
      <c r="A1814" t="s">
        <v>394</v>
      </c>
      <c r="B1814" t="s">
        <v>110</v>
      </c>
      <c r="C1814" s="2">
        <f>HYPERLINK("https://svao.dolgi.msk.ru/account/1760118604/", 1760118604)</f>
        <v>1760118604</v>
      </c>
      <c r="D1814">
        <v>8513</v>
      </c>
    </row>
    <row r="1815" spans="1:4" x14ac:dyDescent="0.25">
      <c r="A1815" t="s">
        <v>394</v>
      </c>
      <c r="B1815" t="s">
        <v>76</v>
      </c>
      <c r="C1815" s="2">
        <f>HYPERLINK("https://svao.dolgi.msk.ru/account/1760118639/", 1760118639)</f>
        <v>1760118639</v>
      </c>
      <c r="D1815">
        <v>6469.93</v>
      </c>
    </row>
    <row r="1816" spans="1:4" x14ac:dyDescent="0.25">
      <c r="A1816" t="s">
        <v>394</v>
      </c>
      <c r="B1816" t="s">
        <v>93</v>
      </c>
      <c r="C1816" s="2">
        <f>HYPERLINK("https://svao.dolgi.msk.ru/account/1760118655/", 1760118655)</f>
        <v>1760118655</v>
      </c>
      <c r="D1816">
        <v>2580.7399999999998</v>
      </c>
    </row>
    <row r="1817" spans="1:4" x14ac:dyDescent="0.25">
      <c r="A1817" t="s">
        <v>394</v>
      </c>
      <c r="B1817" t="s">
        <v>113</v>
      </c>
      <c r="C1817" s="2">
        <f>HYPERLINK("https://svao.dolgi.msk.ru/account/1760118719/", 1760118719)</f>
        <v>1760118719</v>
      </c>
      <c r="D1817">
        <v>9719.35</v>
      </c>
    </row>
    <row r="1818" spans="1:4" x14ac:dyDescent="0.25">
      <c r="A1818" t="s">
        <v>394</v>
      </c>
      <c r="B1818" t="s">
        <v>21</v>
      </c>
      <c r="C1818" s="2">
        <f>HYPERLINK("https://svao.dolgi.msk.ru/account/1760118727/", 1760118727)</f>
        <v>1760118727</v>
      </c>
      <c r="D1818">
        <v>5481.54</v>
      </c>
    </row>
    <row r="1819" spans="1:4" x14ac:dyDescent="0.25">
      <c r="A1819" t="s">
        <v>394</v>
      </c>
      <c r="B1819" t="s">
        <v>78</v>
      </c>
      <c r="C1819" s="2">
        <f>HYPERLINK("https://svao.dolgi.msk.ru/account/1760118751/", 1760118751)</f>
        <v>1760118751</v>
      </c>
      <c r="D1819">
        <v>1550.31</v>
      </c>
    </row>
    <row r="1820" spans="1:4" x14ac:dyDescent="0.25">
      <c r="A1820" t="s">
        <v>394</v>
      </c>
      <c r="B1820" t="s">
        <v>22</v>
      </c>
      <c r="C1820" s="2">
        <f>HYPERLINK("https://svao.dolgi.msk.ru/account/1760118778/", 1760118778)</f>
        <v>1760118778</v>
      </c>
      <c r="D1820">
        <v>7394.04</v>
      </c>
    </row>
    <row r="1821" spans="1:4" x14ac:dyDescent="0.25">
      <c r="A1821" t="s">
        <v>394</v>
      </c>
      <c r="B1821" t="s">
        <v>117</v>
      </c>
      <c r="C1821" s="2">
        <f>HYPERLINK("https://svao.dolgi.msk.ru/account/1760118815/", 1760118815)</f>
        <v>1760118815</v>
      </c>
      <c r="D1821">
        <v>3991.07</v>
      </c>
    </row>
    <row r="1822" spans="1:4" x14ac:dyDescent="0.25">
      <c r="A1822" t="s">
        <v>394</v>
      </c>
      <c r="B1822" t="s">
        <v>131</v>
      </c>
      <c r="C1822" s="2">
        <f>HYPERLINK("https://svao.dolgi.msk.ru/account/1760118903/", 1760118903)</f>
        <v>1760118903</v>
      </c>
      <c r="D1822">
        <v>3313.38</v>
      </c>
    </row>
    <row r="1823" spans="1:4" x14ac:dyDescent="0.25">
      <c r="A1823" t="s">
        <v>394</v>
      </c>
      <c r="B1823" t="s">
        <v>118</v>
      </c>
      <c r="C1823" s="2">
        <f>HYPERLINK("https://svao.dolgi.msk.ru/account/1760118954/", 1760118954)</f>
        <v>1760118954</v>
      </c>
      <c r="D1823">
        <v>2722.03</v>
      </c>
    </row>
    <row r="1824" spans="1:4" x14ac:dyDescent="0.25">
      <c r="A1824" t="s">
        <v>394</v>
      </c>
      <c r="B1824" t="s">
        <v>82</v>
      </c>
      <c r="C1824" s="2">
        <f>HYPERLINK("https://svao.dolgi.msk.ru/account/1760119017/", 1760119017)</f>
        <v>1760119017</v>
      </c>
      <c r="D1824">
        <v>380.12</v>
      </c>
    </row>
    <row r="1825" spans="1:4" x14ac:dyDescent="0.25">
      <c r="A1825" t="s">
        <v>394</v>
      </c>
      <c r="B1825" t="s">
        <v>128</v>
      </c>
      <c r="C1825" s="2">
        <f>HYPERLINK("https://svao.dolgi.msk.ru/account/1760119025/", 1760119025)</f>
        <v>1760119025</v>
      </c>
      <c r="D1825">
        <v>4790.2</v>
      </c>
    </row>
    <row r="1826" spans="1:4" x14ac:dyDescent="0.25">
      <c r="A1826" t="s">
        <v>394</v>
      </c>
      <c r="B1826" t="s">
        <v>96</v>
      </c>
      <c r="C1826" s="2">
        <f>HYPERLINK("https://svao.dolgi.msk.ru/account/1760119092/", 1760119092)</f>
        <v>1760119092</v>
      </c>
      <c r="D1826">
        <v>2975.5</v>
      </c>
    </row>
    <row r="1827" spans="1:4" x14ac:dyDescent="0.25">
      <c r="A1827" t="s">
        <v>394</v>
      </c>
      <c r="B1827" t="s">
        <v>134</v>
      </c>
      <c r="C1827" s="2">
        <f>HYPERLINK("https://svao.dolgi.msk.ru/account/1760119156/", 1760119156)</f>
        <v>1760119156</v>
      </c>
      <c r="D1827">
        <v>2228.69</v>
      </c>
    </row>
    <row r="1828" spans="1:4" x14ac:dyDescent="0.25">
      <c r="A1828" t="s">
        <v>394</v>
      </c>
      <c r="B1828" t="s">
        <v>139</v>
      </c>
      <c r="C1828" s="2">
        <f>HYPERLINK("https://svao.dolgi.msk.ru/account/1760119164/", 1760119164)</f>
        <v>1760119164</v>
      </c>
      <c r="D1828">
        <v>5886.38</v>
      </c>
    </row>
    <row r="1829" spans="1:4" x14ac:dyDescent="0.25">
      <c r="A1829" t="s">
        <v>394</v>
      </c>
      <c r="B1829" t="s">
        <v>28</v>
      </c>
      <c r="C1829" s="2">
        <f>HYPERLINK("https://svao.dolgi.msk.ru/account/1760119172/", 1760119172)</f>
        <v>1760119172</v>
      </c>
      <c r="D1829">
        <v>4598.13</v>
      </c>
    </row>
    <row r="1830" spans="1:4" x14ac:dyDescent="0.25">
      <c r="A1830" t="s">
        <v>394</v>
      </c>
      <c r="B1830" t="s">
        <v>244</v>
      </c>
      <c r="C1830" s="2">
        <f>HYPERLINK("https://svao.dolgi.msk.ru/account/1760119201/", 1760119201)</f>
        <v>1760119201</v>
      </c>
      <c r="D1830">
        <v>7388.08</v>
      </c>
    </row>
    <row r="1831" spans="1:4" x14ac:dyDescent="0.25">
      <c r="A1831" t="s">
        <v>395</v>
      </c>
      <c r="B1831" t="s">
        <v>101</v>
      </c>
      <c r="C1831" s="2">
        <f>HYPERLINK("https://svao.dolgi.msk.ru/account/1760023509/", 1760023509)</f>
        <v>1760023509</v>
      </c>
      <c r="D1831">
        <v>2804.72</v>
      </c>
    </row>
    <row r="1832" spans="1:4" x14ac:dyDescent="0.25">
      <c r="A1832" t="s">
        <v>395</v>
      </c>
      <c r="B1832" t="s">
        <v>141</v>
      </c>
      <c r="C1832" s="2">
        <f>HYPERLINK("https://svao.dolgi.msk.ru/account/1760023517/", 1760023517)</f>
        <v>1760023517</v>
      </c>
      <c r="D1832">
        <v>29328.639999999999</v>
      </c>
    </row>
    <row r="1833" spans="1:4" x14ac:dyDescent="0.25">
      <c r="A1833" t="s">
        <v>395</v>
      </c>
      <c r="B1833" t="s">
        <v>73</v>
      </c>
      <c r="C1833" s="2">
        <f>HYPERLINK("https://svao.dolgi.msk.ru/account/1760023568/", 1760023568)</f>
        <v>1760023568</v>
      </c>
      <c r="D1833">
        <v>4245.63</v>
      </c>
    </row>
    <row r="1834" spans="1:4" x14ac:dyDescent="0.25">
      <c r="A1834" t="s">
        <v>395</v>
      </c>
      <c r="B1834" t="s">
        <v>10</v>
      </c>
      <c r="C1834" s="2">
        <f>HYPERLINK("https://svao.dolgi.msk.ru/account/1760023656/", 1760023656)</f>
        <v>1760023656</v>
      </c>
      <c r="D1834">
        <v>4100.8599999999997</v>
      </c>
    </row>
    <row r="1835" spans="1:4" x14ac:dyDescent="0.25">
      <c r="A1835" t="s">
        <v>395</v>
      </c>
      <c r="B1835" t="s">
        <v>11</v>
      </c>
      <c r="C1835" s="2">
        <f>HYPERLINK("https://svao.dolgi.msk.ru/account/1760023672/", 1760023672)</f>
        <v>1760023672</v>
      </c>
      <c r="D1835">
        <v>9512.34</v>
      </c>
    </row>
    <row r="1836" spans="1:4" x14ac:dyDescent="0.25">
      <c r="A1836" t="s">
        <v>395</v>
      </c>
      <c r="B1836" t="s">
        <v>18</v>
      </c>
      <c r="C1836" s="2">
        <f>HYPERLINK("https://svao.dolgi.msk.ru/account/1760023779/", 1760023779)</f>
        <v>1760023779</v>
      </c>
      <c r="D1836">
        <v>24578.77</v>
      </c>
    </row>
    <row r="1837" spans="1:4" x14ac:dyDescent="0.25">
      <c r="A1837" t="s">
        <v>395</v>
      </c>
      <c r="B1837" t="s">
        <v>20</v>
      </c>
      <c r="C1837" s="2">
        <f>HYPERLINK("https://svao.dolgi.msk.ru/account/1760023816/", 1760023816)</f>
        <v>1760023816</v>
      </c>
      <c r="D1837">
        <v>4048.16</v>
      </c>
    </row>
    <row r="1838" spans="1:4" x14ac:dyDescent="0.25">
      <c r="A1838" t="s">
        <v>395</v>
      </c>
      <c r="B1838" t="s">
        <v>111</v>
      </c>
      <c r="C1838" s="2">
        <f>HYPERLINK("https://svao.dolgi.msk.ru/account/1760023867/", 1760023867)</f>
        <v>1760023867</v>
      </c>
      <c r="D1838">
        <v>4118.88</v>
      </c>
    </row>
    <row r="1839" spans="1:4" x14ac:dyDescent="0.25">
      <c r="A1839" t="s">
        <v>395</v>
      </c>
      <c r="B1839" t="s">
        <v>94</v>
      </c>
      <c r="C1839" s="2">
        <f>HYPERLINK("https://svao.dolgi.msk.ru/account/1760023875/", 1760023875)</f>
        <v>1760023875</v>
      </c>
      <c r="D1839">
        <v>6479.83</v>
      </c>
    </row>
    <row r="1840" spans="1:4" x14ac:dyDescent="0.25">
      <c r="A1840" t="s">
        <v>395</v>
      </c>
      <c r="B1840" t="s">
        <v>112</v>
      </c>
      <c r="C1840" s="2">
        <f>HYPERLINK("https://svao.dolgi.msk.ru/account/1760023883/", 1760023883)</f>
        <v>1760023883</v>
      </c>
      <c r="D1840">
        <v>3165.41</v>
      </c>
    </row>
    <row r="1841" spans="1:4" x14ac:dyDescent="0.25">
      <c r="A1841" t="s">
        <v>395</v>
      </c>
      <c r="B1841" t="s">
        <v>23</v>
      </c>
      <c r="C1841" s="2">
        <f>HYPERLINK("https://svao.dolgi.msk.ru/account/1760023939/", 1760023939)</f>
        <v>1760023939</v>
      </c>
      <c r="D1841">
        <v>11127</v>
      </c>
    </row>
    <row r="1842" spans="1:4" x14ac:dyDescent="0.25">
      <c r="A1842" t="s">
        <v>395</v>
      </c>
      <c r="B1842" t="s">
        <v>124</v>
      </c>
      <c r="C1842" s="2">
        <f>HYPERLINK("https://svao.dolgi.msk.ru/account/1760023947/", 1760023947)</f>
        <v>1760023947</v>
      </c>
      <c r="D1842">
        <v>4608.37</v>
      </c>
    </row>
    <row r="1843" spans="1:4" x14ac:dyDescent="0.25">
      <c r="A1843" t="s">
        <v>395</v>
      </c>
      <c r="B1843" t="s">
        <v>24</v>
      </c>
      <c r="C1843" s="2">
        <f>HYPERLINK("https://svao.dolgi.msk.ru/account/1760023998/", 1760023998)</f>
        <v>1760023998</v>
      </c>
      <c r="D1843">
        <v>3796.26</v>
      </c>
    </row>
    <row r="1844" spans="1:4" x14ac:dyDescent="0.25">
      <c r="A1844" t="s">
        <v>395</v>
      </c>
      <c r="B1844" t="s">
        <v>314</v>
      </c>
      <c r="C1844" s="2">
        <f>HYPERLINK("https://svao.dolgi.msk.ru/account/1760024018/", 1760024018)</f>
        <v>1760024018</v>
      </c>
      <c r="D1844">
        <v>2487.09</v>
      </c>
    </row>
    <row r="1845" spans="1:4" x14ac:dyDescent="0.25">
      <c r="A1845" t="s">
        <v>395</v>
      </c>
      <c r="B1845" t="s">
        <v>242</v>
      </c>
      <c r="C1845" s="2">
        <f>HYPERLINK("https://svao.dolgi.msk.ru/account/1760024026/", 1760024026)</f>
        <v>1760024026</v>
      </c>
      <c r="D1845">
        <v>11237.79</v>
      </c>
    </row>
    <row r="1846" spans="1:4" x14ac:dyDescent="0.25">
      <c r="A1846" t="s">
        <v>395</v>
      </c>
      <c r="B1846" t="s">
        <v>242</v>
      </c>
      <c r="C1846" s="2">
        <f>HYPERLINK("https://svao.dolgi.msk.ru/account/1760272177/", 1760272177)</f>
        <v>1760272177</v>
      </c>
      <c r="D1846">
        <v>483.94</v>
      </c>
    </row>
    <row r="1847" spans="1:4" x14ac:dyDescent="0.25">
      <c r="A1847" t="s">
        <v>395</v>
      </c>
      <c r="B1847" t="s">
        <v>131</v>
      </c>
      <c r="C1847" s="2">
        <f>HYPERLINK("https://svao.dolgi.msk.ru/account/1760024042/", 1760024042)</f>
        <v>1760024042</v>
      </c>
      <c r="D1847">
        <v>1239.68</v>
      </c>
    </row>
    <row r="1848" spans="1:4" x14ac:dyDescent="0.25">
      <c r="A1848" t="s">
        <v>395</v>
      </c>
      <c r="B1848" t="s">
        <v>25</v>
      </c>
      <c r="C1848" s="2">
        <f>HYPERLINK("https://svao.dolgi.msk.ru/account/1760024122/", 1760024122)</f>
        <v>1760024122</v>
      </c>
      <c r="D1848">
        <v>4848.76</v>
      </c>
    </row>
    <row r="1849" spans="1:4" x14ac:dyDescent="0.25">
      <c r="A1849" t="s">
        <v>395</v>
      </c>
      <c r="B1849" t="s">
        <v>83</v>
      </c>
      <c r="C1849" s="2">
        <f>HYPERLINK("https://svao.dolgi.msk.ru/account/1760024149/", 1760024149)</f>
        <v>1760024149</v>
      </c>
      <c r="D1849">
        <v>2426.66</v>
      </c>
    </row>
    <row r="1850" spans="1:4" x14ac:dyDescent="0.25">
      <c r="A1850" t="s">
        <v>395</v>
      </c>
      <c r="B1850" t="s">
        <v>26</v>
      </c>
      <c r="C1850" s="2">
        <f>HYPERLINK("https://svao.dolgi.msk.ru/account/1760024173/", 1760024173)</f>
        <v>1760024173</v>
      </c>
      <c r="D1850">
        <v>9343.01</v>
      </c>
    </row>
    <row r="1851" spans="1:4" x14ac:dyDescent="0.25">
      <c r="A1851" t="s">
        <v>395</v>
      </c>
      <c r="B1851" t="s">
        <v>121</v>
      </c>
      <c r="C1851" s="2">
        <f>HYPERLINK("https://svao.dolgi.msk.ru/account/1760024261/", 1760024261)</f>
        <v>1760024261</v>
      </c>
      <c r="D1851">
        <v>4068.51</v>
      </c>
    </row>
    <row r="1852" spans="1:4" x14ac:dyDescent="0.25">
      <c r="A1852" t="s">
        <v>396</v>
      </c>
      <c r="B1852" t="s">
        <v>41</v>
      </c>
      <c r="C1852" s="2">
        <f>HYPERLINK("https://svao.dolgi.msk.ru/account/1760119279/", 1760119279)</f>
        <v>1760119279</v>
      </c>
      <c r="D1852">
        <v>3450.91</v>
      </c>
    </row>
    <row r="1853" spans="1:4" x14ac:dyDescent="0.25">
      <c r="A1853" t="s">
        <v>396</v>
      </c>
      <c r="B1853" t="s">
        <v>5</v>
      </c>
      <c r="C1853" s="2">
        <f>HYPERLINK("https://svao.dolgi.msk.ru/account/1760119287/", 1760119287)</f>
        <v>1760119287</v>
      </c>
      <c r="D1853">
        <v>8097.51</v>
      </c>
    </row>
    <row r="1854" spans="1:4" x14ac:dyDescent="0.25">
      <c r="A1854" t="s">
        <v>396</v>
      </c>
      <c r="B1854" t="s">
        <v>141</v>
      </c>
      <c r="C1854" s="2">
        <f>HYPERLINK("https://svao.dolgi.msk.ru/account/1760119316/", 1760119316)</f>
        <v>1760119316</v>
      </c>
      <c r="D1854">
        <v>4909.8599999999997</v>
      </c>
    </row>
    <row r="1855" spans="1:4" x14ac:dyDescent="0.25">
      <c r="A1855" t="s">
        <v>396</v>
      </c>
      <c r="B1855" t="s">
        <v>73</v>
      </c>
      <c r="C1855" s="2">
        <f>HYPERLINK("https://svao.dolgi.msk.ru/account/1760119359/", 1760119359)</f>
        <v>1760119359</v>
      </c>
      <c r="D1855">
        <v>225.02</v>
      </c>
    </row>
    <row r="1856" spans="1:4" x14ac:dyDescent="0.25">
      <c r="A1856" t="s">
        <v>396</v>
      </c>
      <c r="B1856" t="s">
        <v>91</v>
      </c>
      <c r="C1856" s="2">
        <f>HYPERLINK("https://svao.dolgi.msk.ru/account/1760119439/", 1760119439)</f>
        <v>1760119439</v>
      </c>
      <c r="D1856">
        <v>1723.58</v>
      </c>
    </row>
    <row r="1857" spans="1:4" x14ac:dyDescent="0.25">
      <c r="A1857" t="s">
        <v>396</v>
      </c>
      <c r="B1857" t="s">
        <v>91</v>
      </c>
      <c r="C1857" s="2">
        <f>HYPERLINK("https://svao.dolgi.msk.ru/account/1761793644/", 1761793644)</f>
        <v>1761793644</v>
      </c>
      <c r="D1857">
        <v>2864.02</v>
      </c>
    </row>
    <row r="1858" spans="1:4" x14ac:dyDescent="0.25">
      <c r="A1858" t="s">
        <v>396</v>
      </c>
      <c r="B1858" t="s">
        <v>10</v>
      </c>
      <c r="C1858" s="2">
        <f>HYPERLINK("https://svao.dolgi.msk.ru/account/1760119447/", 1760119447)</f>
        <v>1760119447</v>
      </c>
      <c r="D1858">
        <v>9687.73</v>
      </c>
    </row>
    <row r="1859" spans="1:4" x14ac:dyDescent="0.25">
      <c r="A1859" t="s">
        <v>396</v>
      </c>
      <c r="B1859" t="s">
        <v>106</v>
      </c>
      <c r="C1859" s="2">
        <f>HYPERLINK("https://svao.dolgi.msk.ru/account/1760119527/", 1760119527)</f>
        <v>1760119527</v>
      </c>
      <c r="D1859">
        <v>336739.24</v>
      </c>
    </row>
    <row r="1860" spans="1:4" x14ac:dyDescent="0.25">
      <c r="A1860" t="s">
        <v>396</v>
      </c>
      <c r="B1860" t="s">
        <v>16</v>
      </c>
      <c r="C1860" s="2">
        <f>HYPERLINK("https://svao.dolgi.msk.ru/account/1760119578/", 1760119578)</f>
        <v>1760119578</v>
      </c>
      <c r="D1860">
        <v>3260.38</v>
      </c>
    </row>
    <row r="1861" spans="1:4" x14ac:dyDescent="0.25">
      <c r="A1861" t="s">
        <v>396</v>
      </c>
      <c r="B1861" t="s">
        <v>19</v>
      </c>
      <c r="C1861" s="2">
        <f>HYPERLINK("https://svao.dolgi.msk.ru/account/1760119607/", 1760119607)</f>
        <v>1760119607</v>
      </c>
      <c r="D1861">
        <v>2506.14</v>
      </c>
    </row>
    <row r="1862" spans="1:4" x14ac:dyDescent="0.25">
      <c r="A1862" t="s">
        <v>396</v>
      </c>
      <c r="B1862" t="s">
        <v>109</v>
      </c>
      <c r="C1862" s="2">
        <f>HYPERLINK("https://svao.dolgi.msk.ru/account/1760119615/", 1760119615)</f>
        <v>1760119615</v>
      </c>
      <c r="D1862">
        <v>18880.02</v>
      </c>
    </row>
    <row r="1863" spans="1:4" x14ac:dyDescent="0.25">
      <c r="A1863" t="s">
        <v>396</v>
      </c>
      <c r="B1863" t="s">
        <v>112</v>
      </c>
      <c r="C1863" s="2">
        <f>HYPERLINK("https://svao.dolgi.msk.ru/account/1760119711/", 1760119711)</f>
        <v>1760119711</v>
      </c>
      <c r="D1863">
        <v>6684.88</v>
      </c>
    </row>
    <row r="1864" spans="1:4" x14ac:dyDescent="0.25">
      <c r="A1864" t="s">
        <v>396</v>
      </c>
      <c r="B1864" t="s">
        <v>113</v>
      </c>
      <c r="C1864" s="2">
        <f>HYPERLINK("https://svao.dolgi.msk.ru/account/1760119738/", 1760119738)</f>
        <v>1760119738</v>
      </c>
      <c r="D1864">
        <v>150707.78</v>
      </c>
    </row>
    <row r="1865" spans="1:4" x14ac:dyDescent="0.25">
      <c r="A1865" t="s">
        <v>397</v>
      </c>
      <c r="B1865" t="s">
        <v>41</v>
      </c>
      <c r="C1865" s="2">
        <f>HYPERLINK("https://svao.dolgi.msk.ru/account/1760119754/", 1760119754)</f>
        <v>1760119754</v>
      </c>
      <c r="D1865">
        <v>2853.01</v>
      </c>
    </row>
    <row r="1866" spans="1:4" x14ac:dyDescent="0.25">
      <c r="A1866" t="s">
        <v>397</v>
      </c>
      <c r="B1866" t="s">
        <v>7</v>
      </c>
      <c r="C1866" s="2">
        <f>HYPERLINK("https://svao.dolgi.msk.ru/account/1760119789/", 1760119789)</f>
        <v>1760119789</v>
      </c>
      <c r="D1866">
        <v>4307.68</v>
      </c>
    </row>
    <row r="1867" spans="1:4" x14ac:dyDescent="0.25">
      <c r="A1867" t="s">
        <v>397</v>
      </c>
      <c r="B1867" t="s">
        <v>103</v>
      </c>
      <c r="C1867" s="2">
        <f>HYPERLINK("https://svao.dolgi.msk.ru/account/1760119834/", 1760119834)</f>
        <v>1760119834</v>
      </c>
      <c r="D1867">
        <v>27752.32</v>
      </c>
    </row>
    <row r="1868" spans="1:4" x14ac:dyDescent="0.25">
      <c r="A1868" t="s">
        <v>397</v>
      </c>
      <c r="B1868" t="s">
        <v>12</v>
      </c>
      <c r="C1868" s="2">
        <f>HYPERLINK("https://svao.dolgi.msk.ru/account/1760119973/", 1760119973)</f>
        <v>1760119973</v>
      </c>
      <c r="D1868">
        <v>13519.93</v>
      </c>
    </row>
    <row r="1869" spans="1:4" x14ac:dyDescent="0.25">
      <c r="A1869" t="s">
        <v>397</v>
      </c>
      <c r="B1869" t="s">
        <v>15</v>
      </c>
      <c r="C1869" s="2">
        <f>HYPERLINK("https://svao.dolgi.msk.ru/account/1760120042/", 1760120042)</f>
        <v>1760120042</v>
      </c>
      <c r="D1869">
        <v>4371.6499999999996</v>
      </c>
    </row>
    <row r="1870" spans="1:4" x14ac:dyDescent="0.25">
      <c r="A1870" t="s">
        <v>397</v>
      </c>
      <c r="B1870" t="s">
        <v>108</v>
      </c>
      <c r="C1870" s="2">
        <f>HYPERLINK("https://svao.dolgi.msk.ru/account/1760120069/", 1760120069)</f>
        <v>1760120069</v>
      </c>
      <c r="D1870">
        <v>2522.1799999999998</v>
      </c>
    </row>
    <row r="1871" spans="1:4" x14ac:dyDescent="0.25">
      <c r="A1871" t="s">
        <v>397</v>
      </c>
      <c r="B1871" t="s">
        <v>18</v>
      </c>
      <c r="C1871" s="2">
        <f>HYPERLINK("https://svao.dolgi.msk.ru/account/1760120093/", 1760120093)</f>
        <v>1760120093</v>
      </c>
      <c r="D1871">
        <v>3682.39</v>
      </c>
    </row>
    <row r="1872" spans="1:4" x14ac:dyDescent="0.25">
      <c r="A1872" t="s">
        <v>397</v>
      </c>
      <c r="B1872" t="s">
        <v>109</v>
      </c>
      <c r="C1872" s="2">
        <f>HYPERLINK("https://svao.dolgi.msk.ru/account/1760120114/", 1760120114)</f>
        <v>1760120114</v>
      </c>
      <c r="D1872">
        <v>2175.94</v>
      </c>
    </row>
    <row r="1873" spans="1:4" x14ac:dyDescent="0.25">
      <c r="A1873" t="s">
        <v>397</v>
      </c>
      <c r="B1873" t="s">
        <v>76</v>
      </c>
      <c r="C1873" s="2">
        <f>HYPERLINK("https://svao.dolgi.msk.ru/account/1760120157/", 1760120157)</f>
        <v>1760120157</v>
      </c>
      <c r="D1873">
        <v>3650.93</v>
      </c>
    </row>
    <row r="1874" spans="1:4" x14ac:dyDescent="0.25">
      <c r="A1874" t="s">
        <v>397</v>
      </c>
      <c r="B1874" t="s">
        <v>93</v>
      </c>
      <c r="C1874" s="2">
        <f>HYPERLINK("https://svao.dolgi.msk.ru/account/1760120173/", 1760120173)</f>
        <v>1760120173</v>
      </c>
      <c r="D1874">
        <v>2645.69</v>
      </c>
    </row>
    <row r="1875" spans="1:4" x14ac:dyDescent="0.25">
      <c r="A1875" t="s">
        <v>398</v>
      </c>
      <c r="B1875" t="s">
        <v>74</v>
      </c>
      <c r="C1875" s="2">
        <f>HYPERLINK("https://svao.dolgi.msk.ru/account/1760120368/", 1760120368)</f>
        <v>1760120368</v>
      </c>
      <c r="D1875">
        <v>3510.62</v>
      </c>
    </row>
    <row r="1876" spans="1:4" x14ac:dyDescent="0.25">
      <c r="A1876" t="s">
        <v>398</v>
      </c>
      <c r="B1876" t="s">
        <v>75</v>
      </c>
      <c r="C1876" s="2">
        <f>HYPERLINK("https://svao.dolgi.msk.ru/account/1760120392/", 1760120392)</f>
        <v>1760120392</v>
      </c>
      <c r="D1876">
        <v>4047.55</v>
      </c>
    </row>
    <row r="1877" spans="1:4" x14ac:dyDescent="0.25">
      <c r="A1877" t="s">
        <v>398</v>
      </c>
      <c r="B1877" t="s">
        <v>11</v>
      </c>
      <c r="C1877" s="2">
        <f>HYPERLINK("https://svao.dolgi.msk.ru/account/1760120448/", 1760120448)</f>
        <v>1760120448</v>
      </c>
      <c r="D1877">
        <v>3456.53</v>
      </c>
    </row>
    <row r="1878" spans="1:4" x14ac:dyDescent="0.25">
      <c r="A1878" t="s">
        <v>398</v>
      </c>
      <c r="B1878" t="s">
        <v>15</v>
      </c>
      <c r="C1878" s="2">
        <f>HYPERLINK("https://svao.dolgi.msk.ru/account/1760120528/", 1760120528)</f>
        <v>1760120528</v>
      </c>
      <c r="D1878">
        <v>40235.050000000003</v>
      </c>
    </row>
    <row r="1879" spans="1:4" x14ac:dyDescent="0.25">
      <c r="A1879" t="s">
        <v>398</v>
      </c>
      <c r="B1879" t="s">
        <v>16</v>
      </c>
      <c r="C1879" s="2">
        <f>HYPERLINK("https://svao.dolgi.msk.ru/account/1760120544/", 1760120544)</f>
        <v>1760120544</v>
      </c>
      <c r="D1879">
        <v>4132.28</v>
      </c>
    </row>
    <row r="1880" spans="1:4" x14ac:dyDescent="0.25">
      <c r="A1880" t="s">
        <v>398</v>
      </c>
      <c r="B1880" t="s">
        <v>20</v>
      </c>
      <c r="C1880" s="2">
        <f>HYPERLINK("https://svao.dolgi.msk.ru/account/1760120616/", 1760120616)</f>
        <v>1760120616</v>
      </c>
      <c r="D1880">
        <v>10473.67</v>
      </c>
    </row>
    <row r="1881" spans="1:4" x14ac:dyDescent="0.25">
      <c r="A1881" t="s">
        <v>398</v>
      </c>
      <c r="B1881" t="s">
        <v>92</v>
      </c>
      <c r="C1881" s="2">
        <f>HYPERLINK("https://svao.dolgi.msk.ru/account/1760120632/", 1760120632)</f>
        <v>1760120632</v>
      </c>
      <c r="D1881">
        <v>5560.59</v>
      </c>
    </row>
    <row r="1882" spans="1:4" x14ac:dyDescent="0.25">
      <c r="A1882" t="s">
        <v>398</v>
      </c>
      <c r="B1882" t="s">
        <v>77</v>
      </c>
      <c r="C1882" s="2">
        <f>HYPERLINK("https://svao.dolgi.msk.ru/account/1760120712/", 1760120712)</f>
        <v>1760120712</v>
      </c>
      <c r="D1882">
        <v>3429.67</v>
      </c>
    </row>
    <row r="1883" spans="1:4" x14ac:dyDescent="0.25">
      <c r="A1883" t="s">
        <v>398</v>
      </c>
      <c r="B1883" t="s">
        <v>23</v>
      </c>
      <c r="C1883" s="2">
        <f>HYPERLINK("https://svao.dolgi.msk.ru/account/1760120771/", 1760120771)</f>
        <v>1760120771</v>
      </c>
      <c r="D1883">
        <v>6162.12</v>
      </c>
    </row>
    <row r="1884" spans="1:4" x14ac:dyDescent="0.25">
      <c r="A1884" t="s">
        <v>398</v>
      </c>
      <c r="B1884" t="s">
        <v>117</v>
      </c>
      <c r="C1884" s="2">
        <f>HYPERLINK("https://svao.dolgi.msk.ru/account/1760120819/", 1760120819)</f>
        <v>1760120819</v>
      </c>
      <c r="D1884">
        <v>15913.13</v>
      </c>
    </row>
    <row r="1885" spans="1:4" x14ac:dyDescent="0.25">
      <c r="A1885" t="s">
        <v>398</v>
      </c>
      <c r="B1885" t="s">
        <v>314</v>
      </c>
      <c r="C1885" s="2">
        <f>HYPERLINK("https://svao.dolgi.msk.ru/account/1760120851/", 1760120851)</f>
        <v>1760120851</v>
      </c>
      <c r="D1885">
        <v>108.69</v>
      </c>
    </row>
    <row r="1886" spans="1:4" x14ac:dyDescent="0.25">
      <c r="A1886" t="s">
        <v>398</v>
      </c>
      <c r="B1886" t="s">
        <v>131</v>
      </c>
      <c r="C1886" s="2">
        <f>HYPERLINK("https://svao.dolgi.msk.ru/account/1760120894/", 1760120894)</f>
        <v>1760120894</v>
      </c>
      <c r="D1886">
        <v>4029.97</v>
      </c>
    </row>
    <row r="1887" spans="1:4" x14ac:dyDescent="0.25">
      <c r="A1887" t="s">
        <v>398</v>
      </c>
      <c r="B1887" t="s">
        <v>119</v>
      </c>
      <c r="C1887" s="2">
        <f>HYPERLINK("https://svao.dolgi.msk.ru/account/1760120974/", 1760120974)</f>
        <v>1760120974</v>
      </c>
      <c r="D1887">
        <v>5564.79</v>
      </c>
    </row>
    <row r="1888" spans="1:4" x14ac:dyDescent="0.25">
      <c r="A1888" t="s">
        <v>398</v>
      </c>
      <c r="B1888" t="s">
        <v>82</v>
      </c>
      <c r="C1888" s="2">
        <f>HYPERLINK("https://svao.dolgi.msk.ru/account/1760121002/", 1760121002)</f>
        <v>1760121002</v>
      </c>
      <c r="D1888">
        <v>6817.67</v>
      </c>
    </row>
    <row r="1889" spans="1:4" x14ac:dyDescent="0.25">
      <c r="A1889" t="s">
        <v>398</v>
      </c>
      <c r="B1889" t="s">
        <v>128</v>
      </c>
      <c r="C1889" s="2">
        <f>HYPERLINK("https://svao.dolgi.msk.ru/account/1760121029/", 1760121029)</f>
        <v>1760121029</v>
      </c>
      <c r="D1889">
        <v>4350.9799999999996</v>
      </c>
    </row>
    <row r="1890" spans="1:4" x14ac:dyDescent="0.25">
      <c r="A1890" t="s">
        <v>398</v>
      </c>
      <c r="B1890" t="s">
        <v>25</v>
      </c>
      <c r="C1890" s="2">
        <f>HYPERLINK("https://svao.dolgi.msk.ru/account/1760121037/", 1760121037)</f>
        <v>1760121037</v>
      </c>
      <c r="D1890">
        <v>3464.98</v>
      </c>
    </row>
    <row r="1891" spans="1:4" x14ac:dyDescent="0.25">
      <c r="A1891" t="s">
        <v>398</v>
      </c>
      <c r="B1891" t="s">
        <v>133</v>
      </c>
      <c r="C1891" s="2">
        <f>HYPERLINK("https://svao.dolgi.msk.ru/account/1760121088/", 1760121088)</f>
        <v>1760121088</v>
      </c>
      <c r="D1891">
        <v>1148.68</v>
      </c>
    </row>
    <row r="1892" spans="1:4" x14ac:dyDescent="0.25">
      <c r="A1892" t="s">
        <v>398</v>
      </c>
      <c r="B1892" t="s">
        <v>290</v>
      </c>
      <c r="C1892" s="2">
        <f>HYPERLINK("https://svao.dolgi.msk.ru/account/1760121117/", 1760121117)</f>
        <v>1760121117</v>
      </c>
      <c r="D1892">
        <v>10721.14</v>
      </c>
    </row>
    <row r="1893" spans="1:4" x14ac:dyDescent="0.25">
      <c r="A1893" t="s">
        <v>398</v>
      </c>
      <c r="B1893" t="s">
        <v>134</v>
      </c>
      <c r="C1893" s="2">
        <f>HYPERLINK("https://svao.dolgi.msk.ru/account/1760121141/", 1760121141)</f>
        <v>1760121141</v>
      </c>
      <c r="D1893">
        <v>8704.25</v>
      </c>
    </row>
    <row r="1894" spans="1:4" x14ac:dyDescent="0.25">
      <c r="A1894" t="s">
        <v>398</v>
      </c>
      <c r="B1894" t="s">
        <v>139</v>
      </c>
      <c r="C1894" s="2">
        <f>HYPERLINK("https://svao.dolgi.msk.ru/account/1760121168/", 1760121168)</f>
        <v>1760121168</v>
      </c>
      <c r="D1894">
        <v>3589.56</v>
      </c>
    </row>
    <row r="1895" spans="1:4" x14ac:dyDescent="0.25">
      <c r="A1895" t="s">
        <v>399</v>
      </c>
      <c r="B1895" t="s">
        <v>101</v>
      </c>
      <c r="C1895" s="2">
        <f>HYPERLINK("https://svao.dolgi.msk.ru/account/1760121248/", 1760121248)</f>
        <v>1760121248</v>
      </c>
      <c r="D1895">
        <v>2000.3</v>
      </c>
    </row>
    <row r="1896" spans="1:4" x14ac:dyDescent="0.25">
      <c r="A1896" t="s">
        <v>399</v>
      </c>
      <c r="B1896" t="s">
        <v>141</v>
      </c>
      <c r="C1896" s="2">
        <f>HYPERLINK("https://svao.dolgi.msk.ru/account/1760121256/", 1760121256)</f>
        <v>1760121256</v>
      </c>
      <c r="D1896">
        <v>3061.71</v>
      </c>
    </row>
    <row r="1897" spans="1:4" x14ac:dyDescent="0.25">
      <c r="A1897" t="s">
        <v>399</v>
      </c>
      <c r="B1897" t="s">
        <v>103</v>
      </c>
      <c r="C1897" s="2">
        <f>HYPERLINK("https://svao.dolgi.msk.ru/account/1760121272/", 1760121272)</f>
        <v>1760121272</v>
      </c>
      <c r="D1897">
        <v>3809.93</v>
      </c>
    </row>
    <row r="1898" spans="1:4" x14ac:dyDescent="0.25">
      <c r="A1898" t="s">
        <v>399</v>
      </c>
      <c r="B1898" t="s">
        <v>104</v>
      </c>
      <c r="C1898" s="2">
        <f>HYPERLINK("https://svao.dolgi.msk.ru/account/1760121301/", 1760121301)</f>
        <v>1760121301</v>
      </c>
      <c r="D1898">
        <v>7048.01</v>
      </c>
    </row>
    <row r="1899" spans="1:4" x14ac:dyDescent="0.25">
      <c r="A1899" t="s">
        <v>399</v>
      </c>
      <c r="B1899" t="s">
        <v>91</v>
      </c>
      <c r="C1899" s="2">
        <f>HYPERLINK("https://svao.dolgi.msk.ru/account/1760121387/", 1760121387)</f>
        <v>1760121387</v>
      </c>
      <c r="D1899">
        <v>2940.86</v>
      </c>
    </row>
    <row r="1900" spans="1:4" x14ac:dyDescent="0.25">
      <c r="A1900" t="s">
        <v>399</v>
      </c>
      <c r="B1900" t="s">
        <v>10</v>
      </c>
      <c r="C1900" s="2">
        <f>HYPERLINK("https://svao.dolgi.msk.ru/account/1760121395/", 1760121395)</f>
        <v>1760121395</v>
      </c>
      <c r="D1900">
        <v>2708.24</v>
      </c>
    </row>
    <row r="1901" spans="1:4" x14ac:dyDescent="0.25">
      <c r="A1901" t="s">
        <v>399</v>
      </c>
      <c r="B1901" t="s">
        <v>13</v>
      </c>
      <c r="C1901" s="2">
        <f>HYPERLINK("https://svao.dolgi.msk.ru/account/1760121432/", 1760121432)</f>
        <v>1760121432</v>
      </c>
      <c r="D1901">
        <v>3400.93</v>
      </c>
    </row>
    <row r="1902" spans="1:4" x14ac:dyDescent="0.25">
      <c r="A1902" t="s">
        <v>399</v>
      </c>
      <c r="B1902" t="s">
        <v>76</v>
      </c>
      <c r="C1902" s="2">
        <f>HYPERLINK("https://svao.dolgi.msk.ru/account/1760121571/", 1760121571)</f>
        <v>1760121571</v>
      </c>
      <c r="D1902">
        <v>2923.73</v>
      </c>
    </row>
    <row r="1903" spans="1:4" x14ac:dyDescent="0.25">
      <c r="A1903" t="s">
        <v>399</v>
      </c>
      <c r="B1903" t="s">
        <v>92</v>
      </c>
      <c r="C1903" s="2">
        <f>HYPERLINK("https://svao.dolgi.msk.ru/account/1760121598/", 1760121598)</f>
        <v>1760121598</v>
      </c>
      <c r="D1903">
        <v>1277.44</v>
      </c>
    </row>
    <row r="1904" spans="1:4" x14ac:dyDescent="0.25">
      <c r="A1904" t="s">
        <v>399</v>
      </c>
      <c r="B1904" t="s">
        <v>94</v>
      </c>
      <c r="C1904" s="2">
        <f>HYPERLINK("https://svao.dolgi.msk.ru/account/1760121643/", 1760121643)</f>
        <v>1760121643</v>
      </c>
      <c r="D1904">
        <v>1193.71</v>
      </c>
    </row>
    <row r="1905" spans="1:4" x14ac:dyDescent="0.25">
      <c r="A1905" t="s">
        <v>399</v>
      </c>
      <c r="B1905" t="s">
        <v>112</v>
      </c>
      <c r="C1905" s="2">
        <f>HYPERLINK("https://svao.dolgi.msk.ru/account/1760121651/", 1760121651)</f>
        <v>1760121651</v>
      </c>
      <c r="D1905">
        <v>22737.67</v>
      </c>
    </row>
    <row r="1906" spans="1:4" x14ac:dyDescent="0.25">
      <c r="A1906" t="s">
        <v>399</v>
      </c>
      <c r="B1906" t="s">
        <v>22</v>
      </c>
      <c r="C1906" s="2">
        <f>HYPERLINK("https://svao.dolgi.msk.ru/account/1760121723/", 1760121723)</f>
        <v>1760121723</v>
      </c>
      <c r="D1906">
        <v>8092.24</v>
      </c>
    </row>
    <row r="1907" spans="1:4" x14ac:dyDescent="0.25">
      <c r="A1907" t="s">
        <v>399</v>
      </c>
      <c r="B1907" t="s">
        <v>23</v>
      </c>
      <c r="C1907" s="2">
        <f>HYPERLINK("https://svao.dolgi.msk.ru/account/1760121758/", 1760121758)</f>
        <v>1760121758</v>
      </c>
      <c r="D1907">
        <v>6044.4</v>
      </c>
    </row>
    <row r="1908" spans="1:4" x14ac:dyDescent="0.25">
      <c r="A1908" t="s">
        <v>399</v>
      </c>
      <c r="B1908" t="s">
        <v>124</v>
      </c>
      <c r="C1908" s="2">
        <f>HYPERLINK("https://svao.dolgi.msk.ru/account/1760121766/", 1760121766)</f>
        <v>1760121766</v>
      </c>
      <c r="D1908">
        <v>2806.2</v>
      </c>
    </row>
    <row r="1909" spans="1:4" x14ac:dyDescent="0.25">
      <c r="A1909" t="s">
        <v>399</v>
      </c>
      <c r="B1909" t="s">
        <v>320</v>
      </c>
      <c r="C1909" s="2">
        <f>HYPERLINK("https://svao.dolgi.msk.ru/account/1760121803/", 1760121803)</f>
        <v>1760121803</v>
      </c>
      <c r="D1909">
        <v>2694.9</v>
      </c>
    </row>
    <row r="1910" spans="1:4" x14ac:dyDescent="0.25">
      <c r="A1910" t="s">
        <v>399</v>
      </c>
      <c r="B1910" t="s">
        <v>314</v>
      </c>
      <c r="C1910" s="2">
        <f>HYPERLINK("https://svao.dolgi.msk.ru/account/1760121838/", 1760121838)</f>
        <v>1760121838</v>
      </c>
      <c r="D1910">
        <v>601.5</v>
      </c>
    </row>
    <row r="1911" spans="1:4" x14ac:dyDescent="0.25">
      <c r="A1911" t="s">
        <v>400</v>
      </c>
      <c r="B1911" t="s">
        <v>41</v>
      </c>
      <c r="C1911" s="2">
        <f>HYPERLINK("https://svao.dolgi.msk.ru/account/1760121862/", 1760121862)</f>
        <v>1760121862</v>
      </c>
      <c r="D1911">
        <v>8117.93</v>
      </c>
    </row>
    <row r="1912" spans="1:4" x14ac:dyDescent="0.25">
      <c r="A1912" t="s">
        <v>400</v>
      </c>
      <c r="B1912" t="s">
        <v>102</v>
      </c>
      <c r="C1912" s="2">
        <f>HYPERLINK("https://svao.dolgi.msk.ru/account/1760121934/", 1760121934)</f>
        <v>1760121934</v>
      </c>
      <c r="D1912">
        <v>284.08999999999997</v>
      </c>
    </row>
    <row r="1913" spans="1:4" x14ac:dyDescent="0.25">
      <c r="A1913" t="s">
        <v>400</v>
      </c>
      <c r="B1913" t="s">
        <v>8</v>
      </c>
      <c r="C1913" s="2">
        <f>HYPERLINK("https://svao.dolgi.msk.ru/account/1760121985/", 1760121985)</f>
        <v>1760121985</v>
      </c>
      <c r="D1913">
        <v>2847.05</v>
      </c>
    </row>
    <row r="1914" spans="1:4" x14ac:dyDescent="0.25">
      <c r="A1914" t="s">
        <v>400</v>
      </c>
      <c r="B1914" t="s">
        <v>74</v>
      </c>
      <c r="C1914" s="2">
        <f>HYPERLINK("https://svao.dolgi.msk.ru/account/1760121993/", 1760121993)</f>
        <v>1760121993</v>
      </c>
      <c r="D1914">
        <v>4420.96</v>
      </c>
    </row>
    <row r="1915" spans="1:4" x14ac:dyDescent="0.25">
      <c r="A1915" t="s">
        <v>400</v>
      </c>
      <c r="B1915" t="s">
        <v>75</v>
      </c>
      <c r="C1915" s="2">
        <f>HYPERLINK("https://svao.dolgi.msk.ru/account/1760122021/", 1760122021)</f>
        <v>1760122021</v>
      </c>
      <c r="D1915">
        <v>6218.91</v>
      </c>
    </row>
    <row r="1916" spans="1:4" x14ac:dyDescent="0.25">
      <c r="A1916" t="s">
        <v>400</v>
      </c>
      <c r="B1916" t="s">
        <v>75</v>
      </c>
      <c r="C1916" s="2">
        <f>HYPERLINK("https://svao.dolgi.msk.ru/account/1761793599/", 1761793599)</f>
        <v>1761793599</v>
      </c>
      <c r="D1916">
        <v>168</v>
      </c>
    </row>
    <row r="1917" spans="1:4" x14ac:dyDescent="0.25">
      <c r="A1917" t="s">
        <v>400</v>
      </c>
      <c r="B1917" t="s">
        <v>219</v>
      </c>
      <c r="C1917" s="2">
        <f>HYPERLINK("https://svao.dolgi.msk.ru/account/1760122064/", 1760122064)</f>
        <v>1760122064</v>
      </c>
      <c r="D1917">
        <v>3886.83</v>
      </c>
    </row>
    <row r="1918" spans="1:4" x14ac:dyDescent="0.25">
      <c r="A1918" t="s">
        <v>400</v>
      </c>
      <c r="B1918" t="s">
        <v>11</v>
      </c>
      <c r="C1918" s="2">
        <f>HYPERLINK("https://svao.dolgi.msk.ru/account/1760122072/", 1760122072)</f>
        <v>1760122072</v>
      </c>
      <c r="D1918">
        <v>4580.09</v>
      </c>
    </row>
    <row r="1919" spans="1:4" x14ac:dyDescent="0.25">
      <c r="A1919" t="s">
        <v>400</v>
      </c>
      <c r="B1919" t="s">
        <v>12</v>
      </c>
      <c r="C1919" s="2">
        <f>HYPERLINK("https://svao.dolgi.msk.ru/account/1760122099/", 1760122099)</f>
        <v>1760122099</v>
      </c>
      <c r="D1919">
        <v>7176.7</v>
      </c>
    </row>
    <row r="1920" spans="1:4" x14ac:dyDescent="0.25">
      <c r="A1920" t="s">
        <v>400</v>
      </c>
      <c r="B1920" t="s">
        <v>13</v>
      </c>
      <c r="C1920" s="2">
        <f>HYPERLINK("https://svao.dolgi.msk.ru/account/1760122101/", 1760122101)</f>
        <v>1760122101</v>
      </c>
      <c r="D1920">
        <v>4220.57</v>
      </c>
    </row>
    <row r="1921" spans="1:4" x14ac:dyDescent="0.25">
      <c r="A1921" t="s">
        <v>400</v>
      </c>
      <c r="B1921" t="s">
        <v>107</v>
      </c>
      <c r="C1921" s="2">
        <f>HYPERLINK("https://svao.dolgi.msk.ru/account/1760122144/", 1760122144)</f>
        <v>1760122144</v>
      </c>
      <c r="D1921">
        <v>3785.18</v>
      </c>
    </row>
    <row r="1922" spans="1:4" x14ac:dyDescent="0.25">
      <c r="A1922" t="s">
        <v>400</v>
      </c>
      <c r="B1922" t="s">
        <v>16</v>
      </c>
      <c r="C1922" s="2">
        <f>HYPERLINK("https://svao.dolgi.msk.ru/account/1760122187/", 1760122187)</f>
        <v>1760122187</v>
      </c>
      <c r="D1922">
        <v>2233.79</v>
      </c>
    </row>
    <row r="1923" spans="1:4" x14ac:dyDescent="0.25">
      <c r="A1923" t="s">
        <v>400</v>
      </c>
      <c r="B1923" t="s">
        <v>110</v>
      </c>
      <c r="C1923" s="2">
        <f>HYPERLINK("https://svao.dolgi.msk.ru/account/1760122232/", 1760122232)</f>
        <v>1760122232</v>
      </c>
      <c r="D1923">
        <v>3233.97</v>
      </c>
    </row>
    <row r="1924" spans="1:4" x14ac:dyDescent="0.25">
      <c r="A1924" t="s">
        <v>400</v>
      </c>
      <c r="B1924" t="s">
        <v>92</v>
      </c>
      <c r="C1924" s="2">
        <f>HYPERLINK("https://svao.dolgi.msk.ru/account/1760122275/", 1760122275)</f>
        <v>1760122275</v>
      </c>
      <c r="D1924">
        <v>5460.19</v>
      </c>
    </row>
    <row r="1925" spans="1:4" x14ac:dyDescent="0.25">
      <c r="A1925" t="s">
        <v>400</v>
      </c>
      <c r="B1925" t="s">
        <v>112</v>
      </c>
      <c r="C1925" s="2">
        <f>HYPERLINK("https://svao.dolgi.msk.ru/account/1760122312/", 1760122312)</f>
        <v>1760122312</v>
      </c>
      <c r="D1925">
        <v>3503.75</v>
      </c>
    </row>
    <row r="1926" spans="1:4" x14ac:dyDescent="0.25">
      <c r="A1926" t="s">
        <v>400</v>
      </c>
      <c r="B1926" t="s">
        <v>113</v>
      </c>
      <c r="C1926" s="2">
        <f>HYPERLINK("https://svao.dolgi.msk.ru/account/1760122339/", 1760122339)</f>
        <v>1760122339</v>
      </c>
      <c r="D1926">
        <v>4353.71</v>
      </c>
    </row>
    <row r="1927" spans="1:4" x14ac:dyDescent="0.25">
      <c r="A1927" t="s">
        <v>401</v>
      </c>
      <c r="B1927" t="s">
        <v>6</v>
      </c>
      <c r="C1927" s="2">
        <f>HYPERLINK("https://svao.dolgi.msk.ru/account/1760122355/", 1760122355)</f>
        <v>1760122355</v>
      </c>
      <c r="D1927">
        <v>30476.73</v>
      </c>
    </row>
    <row r="1928" spans="1:4" x14ac:dyDescent="0.25">
      <c r="A1928" t="s">
        <v>401</v>
      </c>
      <c r="B1928" t="s">
        <v>7</v>
      </c>
      <c r="C1928" s="2">
        <f>HYPERLINK("https://svao.dolgi.msk.ru/account/1760122435/", 1760122435)</f>
        <v>1760122435</v>
      </c>
      <c r="D1928">
        <v>36623.18</v>
      </c>
    </row>
    <row r="1929" spans="1:4" x14ac:dyDescent="0.25">
      <c r="A1929" t="s">
        <v>401</v>
      </c>
      <c r="B1929" t="s">
        <v>102</v>
      </c>
      <c r="C1929" s="2">
        <f>HYPERLINK("https://svao.dolgi.msk.ru/account/1760122494/", 1760122494)</f>
        <v>1760122494</v>
      </c>
      <c r="D1929">
        <v>44087.75</v>
      </c>
    </row>
    <row r="1930" spans="1:4" x14ac:dyDescent="0.25">
      <c r="A1930" t="s">
        <v>401</v>
      </c>
      <c r="B1930" t="s">
        <v>102</v>
      </c>
      <c r="C1930" s="2">
        <f>HYPERLINK("https://svao.dolgi.msk.ru/account/1760122523/", 1760122523)</f>
        <v>1760122523</v>
      </c>
      <c r="D1930">
        <v>26712.86</v>
      </c>
    </row>
    <row r="1931" spans="1:4" x14ac:dyDescent="0.25">
      <c r="A1931" t="s">
        <v>401</v>
      </c>
      <c r="B1931" t="s">
        <v>102</v>
      </c>
      <c r="C1931" s="2">
        <f>HYPERLINK("https://svao.dolgi.msk.ru/account/1761793492/", 1761793492)</f>
        <v>1761793492</v>
      </c>
      <c r="D1931">
        <v>21221.919999999998</v>
      </c>
    </row>
    <row r="1932" spans="1:4" x14ac:dyDescent="0.25">
      <c r="A1932" t="s">
        <v>401</v>
      </c>
      <c r="B1932" t="s">
        <v>103</v>
      </c>
      <c r="C1932" s="2">
        <f>HYPERLINK("https://svao.dolgi.msk.ru/account/1760122531/", 1760122531)</f>
        <v>1760122531</v>
      </c>
      <c r="D1932">
        <v>5353.2</v>
      </c>
    </row>
    <row r="1933" spans="1:4" x14ac:dyDescent="0.25">
      <c r="A1933" t="s">
        <v>401</v>
      </c>
      <c r="B1933" t="s">
        <v>103</v>
      </c>
      <c r="C1933" s="2">
        <f>HYPERLINK("https://svao.dolgi.msk.ru/account/1760122558/", 1760122558)</f>
        <v>1760122558</v>
      </c>
      <c r="D1933">
        <v>11782.71</v>
      </c>
    </row>
    <row r="1934" spans="1:4" x14ac:dyDescent="0.25">
      <c r="A1934" t="s">
        <v>401</v>
      </c>
      <c r="B1934" t="s">
        <v>73</v>
      </c>
      <c r="C1934" s="2">
        <f>HYPERLINK("https://svao.dolgi.msk.ru/account/1760122566/", 1760122566)</f>
        <v>1760122566</v>
      </c>
      <c r="D1934">
        <v>7645.53</v>
      </c>
    </row>
    <row r="1935" spans="1:4" x14ac:dyDescent="0.25">
      <c r="A1935" t="s">
        <v>401</v>
      </c>
      <c r="B1935" t="s">
        <v>74</v>
      </c>
      <c r="C1935" s="2">
        <f>HYPERLINK("https://svao.dolgi.msk.ru/account/1760122638/", 1760122638)</f>
        <v>1760122638</v>
      </c>
      <c r="D1935">
        <v>8792.4699999999993</v>
      </c>
    </row>
    <row r="1936" spans="1:4" x14ac:dyDescent="0.25">
      <c r="A1936" t="s">
        <v>401</v>
      </c>
      <c r="B1936" t="s">
        <v>9</v>
      </c>
      <c r="C1936" s="2">
        <f>HYPERLINK("https://svao.dolgi.msk.ru/account/1760122718/", 1760122718)</f>
        <v>1760122718</v>
      </c>
      <c r="D1936">
        <v>1708.19</v>
      </c>
    </row>
    <row r="1937" spans="1:4" x14ac:dyDescent="0.25">
      <c r="A1937" t="s">
        <v>401</v>
      </c>
      <c r="B1937" t="s">
        <v>75</v>
      </c>
      <c r="C1937" s="2">
        <f>HYPERLINK("https://svao.dolgi.msk.ru/account/1760122726/", 1760122726)</f>
        <v>1760122726</v>
      </c>
      <c r="D1937">
        <v>4943.82</v>
      </c>
    </row>
    <row r="1938" spans="1:4" x14ac:dyDescent="0.25">
      <c r="A1938" t="s">
        <v>401</v>
      </c>
      <c r="B1938" t="s">
        <v>219</v>
      </c>
      <c r="C1938" s="2">
        <f>HYPERLINK("https://svao.dolgi.msk.ru/account/1760122793/", 1760122793)</f>
        <v>1760122793</v>
      </c>
      <c r="D1938">
        <v>24430.79</v>
      </c>
    </row>
    <row r="1939" spans="1:4" x14ac:dyDescent="0.25">
      <c r="A1939" t="s">
        <v>402</v>
      </c>
      <c r="B1939" t="s">
        <v>141</v>
      </c>
      <c r="C1939" s="2">
        <f>HYPERLINK("https://svao.dolgi.msk.ru/account/1760122929/", 1760122929)</f>
        <v>1760122929</v>
      </c>
      <c r="D1939">
        <v>8220.64</v>
      </c>
    </row>
    <row r="1940" spans="1:4" x14ac:dyDescent="0.25">
      <c r="A1940" t="s">
        <v>402</v>
      </c>
      <c r="B1940" t="s">
        <v>141</v>
      </c>
      <c r="C1940" s="2">
        <f>HYPERLINK("https://svao.dolgi.msk.ru/account/1760122937/", 1760122937)</f>
        <v>1760122937</v>
      </c>
      <c r="D1940">
        <v>527.99</v>
      </c>
    </row>
    <row r="1941" spans="1:4" x14ac:dyDescent="0.25">
      <c r="A1941" t="s">
        <v>402</v>
      </c>
      <c r="B1941" t="s">
        <v>73</v>
      </c>
      <c r="C1941" s="2">
        <f>HYPERLINK("https://svao.dolgi.msk.ru/account/1760122961/", 1760122961)</f>
        <v>1760122961</v>
      </c>
      <c r="D1941">
        <v>6895.17</v>
      </c>
    </row>
    <row r="1942" spans="1:4" x14ac:dyDescent="0.25">
      <c r="A1942" t="s">
        <v>402</v>
      </c>
      <c r="B1942" t="s">
        <v>104</v>
      </c>
      <c r="C1942" s="2">
        <f>HYPERLINK("https://svao.dolgi.msk.ru/account/1760122988/", 1760122988)</f>
        <v>1760122988</v>
      </c>
      <c r="D1942">
        <v>5081.84</v>
      </c>
    </row>
    <row r="1943" spans="1:4" x14ac:dyDescent="0.25">
      <c r="A1943" t="s">
        <v>402</v>
      </c>
      <c r="B1943" t="s">
        <v>74</v>
      </c>
      <c r="C1943" s="2">
        <f>HYPERLINK("https://svao.dolgi.msk.ru/account/1760123016/", 1760123016)</f>
        <v>1760123016</v>
      </c>
      <c r="D1943">
        <v>991.84</v>
      </c>
    </row>
    <row r="1944" spans="1:4" x14ac:dyDescent="0.25">
      <c r="A1944" t="s">
        <v>402</v>
      </c>
      <c r="B1944" t="s">
        <v>9</v>
      </c>
      <c r="C1944" s="2">
        <f>HYPERLINK("https://svao.dolgi.msk.ru/account/1760123032/", 1760123032)</f>
        <v>1760123032</v>
      </c>
      <c r="D1944">
        <v>5327.06</v>
      </c>
    </row>
    <row r="1945" spans="1:4" x14ac:dyDescent="0.25">
      <c r="A1945" t="s">
        <v>402</v>
      </c>
      <c r="B1945" t="s">
        <v>75</v>
      </c>
      <c r="C1945" s="2">
        <f>HYPERLINK("https://svao.dolgi.msk.ru/account/1760123067/", 1760123067)</f>
        <v>1760123067</v>
      </c>
      <c r="D1945">
        <v>113864.14</v>
      </c>
    </row>
    <row r="1946" spans="1:4" x14ac:dyDescent="0.25">
      <c r="A1946" t="s">
        <v>402</v>
      </c>
      <c r="B1946" t="s">
        <v>75</v>
      </c>
      <c r="C1946" s="2">
        <f>HYPERLINK("https://svao.dolgi.msk.ru/account/1760123075/", 1760123075)</f>
        <v>1760123075</v>
      </c>
      <c r="D1946">
        <v>2267.7600000000002</v>
      </c>
    </row>
    <row r="1947" spans="1:4" x14ac:dyDescent="0.25">
      <c r="A1947" t="s">
        <v>402</v>
      </c>
      <c r="B1947" t="s">
        <v>14</v>
      </c>
      <c r="C1947" s="2">
        <f>HYPERLINK("https://svao.dolgi.msk.ru/account/1760123171/", 1760123171)</f>
        <v>1760123171</v>
      </c>
      <c r="D1947">
        <v>15914.65</v>
      </c>
    </row>
    <row r="1948" spans="1:4" x14ac:dyDescent="0.25">
      <c r="A1948" t="s">
        <v>402</v>
      </c>
      <c r="B1948" t="s">
        <v>106</v>
      </c>
      <c r="C1948" s="2">
        <f>HYPERLINK("https://svao.dolgi.msk.ru/account/1760123219/", 1760123219)</f>
        <v>1760123219</v>
      </c>
      <c r="D1948">
        <v>2787.44</v>
      </c>
    </row>
    <row r="1949" spans="1:4" x14ac:dyDescent="0.25">
      <c r="A1949" t="s">
        <v>402</v>
      </c>
      <c r="B1949" t="s">
        <v>107</v>
      </c>
      <c r="C1949" s="2">
        <f>HYPERLINK("https://svao.dolgi.msk.ru/account/1760123227/", 1760123227)</f>
        <v>1760123227</v>
      </c>
      <c r="D1949">
        <v>4712.47</v>
      </c>
    </row>
    <row r="1950" spans="1:4" x14ac:dyDescent="0.25">
      <c r="A1950" t="s">
        <v>402</v>
      </c>
      <c r="B1950" t="s">
        <v>15</v>
      </c>
      <c r="C1950" s="2">
        <f>HYPERLINK("https://svao.dolgi.msk.ru/account/1760123235/", 1760123235)</f>
        <v>1760123235</v>
      </c>
      <c r="D1950">
        <v>5896.16</v>
      </c>
    </row>
    <row r="1951" spans="1:4" x14ac:dyDescent="0.25">
      <c r="A1951" t="s">
        <v>402</v>
      </c>
      <c r="B1951" t="s">
        <v>18</v>
      </c>
      <c r="C1951" s="2">
        <f>HYPERLINK("https://svao.dolgi.msk.ru/account/1760123294/", 1760123294)</f>
        <v>1760123294</v>
      </c>
      <c r="D1951">
        <v>4576.79</v>
      </c>
    </row>
    <row r="1952" spans="1:4" x14ac:dyDescent="0.25">
      <c r="A1952" t="s">
        <v>402</v>
      </c>
      <c r="B1952" t="s">
        <v>19</v>
      </c>
      <c r="C1952" s="2">
        <f>HYPERLINK("https://svao.dolgi.msk.ru/account/1760123307/", 1760123307)</f>
        <v>1760123307</v>
      </c>
      <c r="D1952">
        <v>6762.06</v>
      </c>
    </row>
    <row r="1953" spans="1:4" x14ac:dyDescent="0.25">
      <c r="A1953" t="s">
        <v>402</v>
      </c>
      <c r="B1953" t="s">
        <v>109</v>
      </c>
      <c r="C1953" s="2">
        <f>HYPERLINK("https://svao.dolgi.msk.ru/account/1760123315/", 1760123315)</f>
        <v>1760123315</v>
      </c>
      <c r="D1953">
        <v>9627.36</v>
      </c>
    </row>
    <row r="1954" spans="1:4" x14ac:dyDescent="0.25">
      <c r="A1954" t="s">
        <v>402</v>
      </c>
      <c r="B1954" t="s">
        <v>110</v>
      </c>
      <c r="C1954" s="2">
        <f>HYPERLINK("https://svao.dolgi.msk.ru/account/1760123323/", 1760123323)</f>
        <v>1760123323</v>
      </c>
      <c r="D1954">
        <v>3129.09</v>
      </c>
    </row>
    <row r="1955" spans="1:4" x14ac:dyDescent="0.25">
      <c r="A1955" t="s">
        <v>402</v>
      </c>
      <c r="B1955" t="s">
        <v>76</v>
      </c>
      <c r="C1955" s="2">
        <f>HYPERLINK("https://svao.dolgi.msk.ru/account/1760123366/", 1760123366)</f>
        <v>1760123366</v>
      </c>
      <c r="D1955">
        <v>2600.34</v>
      </c>
    </row>
    <row r="1956" spans="1:4" x14ac:dyDescent="0.25">
      <c r="A1956" t="s">
        <v>402</v>
      </c>
      <c r="B1956" t="s">
        <v>93</v>
      </c>
      <c r="C1956" s="2">
        <f>HYPERLINK("https://svao.dolgi.msk.ru/account/1760123403/", 1760123403)</f>
        <v>1760123403</v>
      </c>
      <c r="D1956">
        <v>2937.61</v>
      </c>
    </row>
    <row r="1957" spans="1:4" x14ac:dyDescent="0.25">
      <c r="A1957" t="s">
        <v>402</v>
      </c>
      <c r="B1957" t="s">
        <v>114</v>
      </c>
      <c r="C1957" s="2">
        <f>HYPERLINK("https://svao.dolgi.msk.ru/account/1760123518/", 1760123518)</f>
        <v>1760123518</v>
      </c>
      <c r="D1957">
        <v>4670.37</v>
      </c>
    </row>
    <row r="1958" spans="1:4" x14ac:dyDescent="0.25">
      <c r="A1958" t="s">
        <v>403</v>
      </c>
      <c r="B1958" t="s">
        <v>6</v>
      </c>
      <c r="C1958" s="2">
        <f>HYPERLINK("https://svao.dolgi.msk.ru/account/1760123569/", 1760123569)</f>
        <v>1760123569</v>
      </c>
      <c r="D1958">
        <v>72600.14</v>
      </c>
    </row>
    <row r="1959" spans="1:4" x14ac:dyDescent="0.25">
      <c r="A1959" t="s">
        <v>403</v>
      </c>
      <c r="B1959" t="s">
        <v>41</v>
      </c>
      <c r="C1959" s="2">
        <f>HYPERLINK("https://svao.dolgi.msk.ru/account/1760123577/", 1760123577)</f>
        <v>1760123577</v>
      </c>
      <c r="D1959">
        <v>3917.87</v>
      </c>
    </row>
    <row r="1960" spans="1:4" x14ac:dyDescent="0.25">
      <c r="A1960" t="s">
        <v>403</v>
      </c>
      <c r="B1960" t="s">
        <v>5</v>
      </c>
      <c r="C1960" s="2">
        <f>HYPERLINK("https://svao.dolgi.msk.ru/account/1760123585/", 1760123585)</f>
        <v>1760123585</v>
      </c>
      <c r="D1960">
        <v>19643.490000000002</v>
      </c>
    </row>
    <row r="1961" spans="1:4" x14ac:dyDescent="0.25">
      <c r="A1961" t="s">
        <v>403</v>
      </c>
      <c r="B1961" t="s">
        <v>101</v>
      </c>
      <c r="C1961" s="2">
        <f>HYPERLINK("https://svao.dolgi.msk.ru/account/1760123606/", 1760123606)</f>
        <v>1760123606</v>
      </c>
      <c r="D1961">
        <v>6784.42</v>
      </c>
    </row>
    <row r="1962" spans="1:4" x14ac:dyDescent="0.25">
      <c r="A1962" t="s">
        <v>403</v>
      </c>
      <c r="B1962" t="s">
        <v>73</v>
      </c>
      <c r="C1962" s="2">
        <f>HYPERLINK("https://svao.dolgi.msk.ru/account/1760123673/", 1760123673)</f>
        <v>1760123673</v>
      </c>
      <c r="D1962">
        <v>911.97</v>
      </c>
    </row>
    <row r="1963" spans="1:4" x14ac:dyDescent="0.25">
      <c r="A1963" t="s">
        <v>403</v>
      </c>
      <c r="B1963" t="s">
        <v>74</v>
      </c>
      <c r="C1963" s="2">
        <f>HYPERLINK("https://svao.dolgi.msk.ru/account/1760123753/", 1760123753)</f>
        <v>1760123753</v>
      </c>
      <c r="D1963">
        <v>20420.36</v>
      </c>
    </row>
    <row r="1964" spans="1:4" x14ac:dyDescent="0.25">
      <c r="A1964" t="s">
        <v>403</v>
      </c>
      <c r="B1964" t="s">
        <v>9</v>
      </c>
      <c r="C1964" s="2">
        <f>HYPERLINK("https://svao.dolgi.msk.ru/account/1760123788/", 1760123788)</f>
        <v>1760123788</v>
      </c>
      <c r="D1964">
        <v>5086.2</v>
      </c>
    </row>
    <row r="1965" spans="1:4" x14ac:dyDescent="0.25">
      <c r="A1965" t="s">
        <v>403</v>
      </c>
      <c r="B1965" t="s">
        <v>91</v>
      </c>
      <c r="C1965" s="2">
        <f>HYPERLINK("https://svao.dolgi.msk.ru/account/1760123817/", 1760123817)</f>
        <v>1760123817</v>
      </c>
      <c r="D1965">
        <v>5772.54</v>
      </c>
    </row>
    <row r="1966" spans="1:4" x14ac:dyDescent="0.25">
      <c r="A1966" t="s">
        <v>403</v>
      </c>
      <c r="B1966" t="s">
        <v>219</v>
      </c>
      <c r="C1966" s="2">
        <f>HYPERLINK("https://svao.dolgi.msk.ru/account/1760123833/", 1760123833)</f>
        <v>1760123833</v>
      </c>
      <c r="D1966">
        <v>9480.24</v>
      </c>
    </row>
    <row r="1967" spans="1:4" x14ac:dyDescent="0.25">
      <c r="A1967" t="s">
        <v>403</v>
      </c>
      <c r="B1967" t="s">
        <v>13</v>
      </c>
      <c r="C1967" s="2">
        <f>HYPERLINK("https://svao.dolgi.msk.ru/account/1760123892/", 1760123892)</f>
        <v>1760123892</v>
      </c>
      <c r="D1967">
        <v>167426.63</v>
      </c>
    </row>
    <row r="1968" spans="1:4" x14ac:dyDescent="0.25">
      <c r="A1968" t="s">
        <v>403</v>
      </c>
      <c r="B1968" t="s">
        <v>107</v>
      </c>
      <c r="C1968" s="2">
        <f>HYPERLINK("https://svao.dolgi.msk.ru/account/1760124318/", 1760124318)</f>
        <v>1760124318</v>
      </c>
      <c r="D1968">
        <v>7763.76</v>
      </c>
    </row>
    <row r="1969" spans="1:4" x14ac:dyDescent="0.25">
      <c r="A1969" t="s">
        <v>404</v>
      </c>
      <c r="B1969" t="s">
        <v>5</v>
      </c>
      <c r="C1969" s="2">
        <f>HYPERLINK("https://svao.dolgi.msk.ru/account/1760124043/", 1760124043)</f>
        <v>1760124043</v>
      </c>
      <c r="D1969">
        <v>6935.14</v>
      </c>
    </row>
    <row r="1970" spans="1:4" x14ac:dyDescent="0.25">
      <c r="A1970" t="s">
        <v>404</v>
      </c>
      <c r="B1970" t="s">
        <v>7</v>
      </c>
      <c r="C1970" s="2">
        <f>HYPERLINK("https://svao.dolgi.msk.ru/account/1760124051/", 1760124051)</f>
        <v>1760124051</v>
      </c>
      <c r="D1970">
        <v>80561.429999999993</v>
      </c>
    </row>
    <row r="1971" spans="1:4" x14ac:dyDescent="0.25">
      <c r="A1971" t="s">
        <v>404</v>
      </c>
      <c r="B1971" t="s">
        <v>102</v>
      </c>
      <c r="C1971" s="2">
        <f>HYPERLINK("https://svao.dolgi.msk.ru/account/1760124094/", 1760124094)</f>
        <v>1760124094</v>
      </c>
      <c r="D1971">
        <v>3322.25</v>
      </c>
    </row>
    <row r="1972" spans="1:4" x14ac:dyDescent="0.25">
      <c r="A1972" t="s">
        <v>404</v>
      </c>
      <c r="B1972" t="s">
        <v>73</v>
      </c>
      <c r="C1972" s="2">
        <f>HYPERLINK("https://svao.dolgi.msk.ru/account/1760124115/", 1760124115)</f>
        <v>1760124115</v>
      </c>
      <c r="D1972">
        <v>8970.9</v>
      </c>
    </row>
    <row r="1973" spans="1:4" x14ac:dyDescent="0.25">
      <c r="A1973" t="s">
        <v>404</v>
      </c>
      <c r="B1973" t="s">
        <v>74</v>
      </c>
      <c r="C1973" s="2">
        <f>HYPERLINK("https://svao.dolgi.msk.ru/account/1760124158/", 1760124158)</f>
        <v>1760124158</v>
      </c>
      <c r="D1973">
        <v>4863.32</v>
      </c>
    </row>
    <row r="1974" spans="1:4" x14ac:dyDescent="0.25">
      <c r="A1974" t="s">
        <v>404</v>
      </c>
      <c r="B1974" t="s">
        <v>75</v>
      </c>
      <c r="C1974" s="2">
        <f>HYPERLINK("https://svao.dolgi.msk.ru/account/1760124182/", 1760124182)</f>
        <v>1760124182</v>
      </c>
      <c r="D1974">
        <v>4691.5600000000004</v>
      </c>
    </row>
    <row r="1975" spans="1:4" x14ac:dyDescent="0.25">
      <c r="A1975" t="s">
        <v>404</v>
      </c>
      <c r="B1975" t="s">
        <v>219</v>
      </c>
      <c r="C1975" s="2">
        <f>HYPERLINK("https://svao.dolgi.msk.ru/account/1760124238/", 1760124238)</f>
        <v>1760124238</v>
      </c>
      <c r="D1975">
        <v>3744.94</v>
      </c>
    </row>
    <row r="1976" spans="1:4" x14ac:dyDescent="0.25">
      <c r="A1976" t="s">
        <v>404</v>
      </c>
      <c r="B1976" t="s">
        <v>12</v>
      </c>
      <c r="C1976" s="2">
        <f>HYPERLINK("https://svao.dolgi.msk.ru/account/1760124254/", 1760124254)</f>
        <v>1760124254</v>
      </c>
      <c r="D1976">
        <v>12938.51</v>
      </c>
    </row>
    <row r="1977" spans="1:4" x14ac:dyDescent="0.25">
      <c r="A1977" t="s">
        <v>404</v>
      </c>
      <c r="B1977" t="s">
        <v>19</v>
      </c>
      <c r="C1977" s="2">
        <f>HYPERLINK("https://svao.dolgi.msk.ru/account/1760124406/", 1760124406)</f>
        <v>1760124406</v>
      </c>
      <c r="D1977">
        <v>8222.86</v>
      </c>
    </row>
    <row r="1978" spans="1:4" x14ac:dyDescent="0.25">
      <c r="A1978" t="s">
        <v>404</v>
      </c>
      <c r="B1978" t="s">
        <v>76</v>
      </c>
      <c r="C1978" s="2">
        <f>HYPERLINK("https://svao.dolgi.msk.ru/account/1760124457/", 1760124457)</f>
        <v>1760124457</v>
      </c>
      <c r="D1978">
        <v>3302.66</v>
      </c>
    </row>
    <row r="1979" spans="1:4" x14ac:dyDescent="0.25">
      <c r="A1979" t="s">
        <v>404</v>
      </c>
      <c r="B1979" t="s">
        <v>92</v>
      </c>
      <c r="C1979" s="2">
        <f>HYPERLINK("https://svao.dolgi.msk.ru/account/1760124465/", 1760124465)</f>
        <v>1760124465</v>
      </c>
      <c r="D1979">
        <v>9459.7900000000009</v>
      </c>
    </row>
    <row r="1980" spans="1:4" x14ac:dyDescent="0.25">
      <c r="A1980" t="s">
        <v>404</v>
      </c>
      <c r="B1980" t="s">
        <v>93</v>
      </c>
      <c r="C1980" s="2">
        <f>HYPERLINK("https://svao.dolgi.msk.ru/account/1760124473/", 1760124473)</f>
        <v>1760124473</v>
      </c>
      <c r="D1980">
        <v>5072.07</v>
      </c>
    </row>
    <row r="1981" spans="1:4" x14ac:dyDescent="0.25">
      <c r="A1981" t="s">
        <v>404</v>
      </c>
      <c r="B1981" t="s">
        <v>94</v>
      </c>
      <c r="C1981" s="2">
        <f>HYPERLINK("https://svao.dolgi.msk.ru/account/1760124502/", 1760124502)</f>
        <v>1760124502</v>
      </c>
      <c r="D1981">
        <v>7700.09</v>
      </c>
    </row>
    <row r="1982" spans="1:4" x14ac:dyDescent="0.25">
      <c r="A1982" t="s">
        <v>404</v>
      </c>
      <c r="B1982" t="s">
        <v>77</v>
      </c>
      <c r="C1982" s="2">
        <f>HYPERLINK("https://svao.dolgi.msk.ru/account/1760124553/", 1760124553)</f>
        <v>1760124553</v>
      </c>
      <c r="D1982">
        <v>2563.65</v>
      </c>
    </row>
    <row r="1983" spans="1:4" x14ac:dyDescent="0.25">
      <c r="A1983" t="s">
        <v>404</v>
      </c>
      <c r="B1983" t="s">
        <v>114</v>
      </c>
      <c r="C1983" s="2">
        <f>HYPERLINK("https://svao.dolgi.msk.ru/account/1760124561/", 1760124561)</f>
        <v>1760124561</v>
      </c>
      <c r="D1983">
        <v>41891.300000000003</v>
      </c>
    </row>
    <row r="1984" spans="1:4" x14ac:dyDescent="0.25">
      <c r="A1984" t="s">
        <v>404</v>
      </c>
      <c r="B1984" t="s">
        <v>320</v>
      </c>
      <c r="C1984" s="2">
        <f>HYPERLINK("https://svao.dolgi.msk.ru/account/1760124668/", 1760124668)</f>
        <v>1760124668</v>
      </c>
      <c r="D1984">
        <v>8604.25</v>
      </c>
    </row>
    <row r="1985" spans="1:4" x14ac:dyDescent="0.25">
      <c r="A1985" t="s">
        <v>404</v>
      </c>
      <c r="B1985" t="s">
        <v>126</v>
      </c>
      <c r="C1985" s="2">
        <f>HYPERLINK("https://svao.dolgi.msk.ru/account/1760124748/", 1760124748)</f>
        <v>1760124748</v>
      </c>
      <c r="D1985">
        <v>7520.39</v>
      </c>
    </row>
    <row r="1986" spans="1:4" x14ac:dyDescent="0.25">
      <c r="A1986" t="s">
        <v>404</v>
      </c>
      <c r="B1986" t="s">
        <v>80</v>
      </c>
      <c r="C1986" s="2">
        <f>HYPERLINK("https://svao.dolgi.msk.ru/account/1760124756/", 1760124756)</f>
        <v>1760124756</v>
      </c>
      <c r="D1986">
        <v>5726.64</v>
      </c>
    </row>
    <row r="1987" spans="1:4" x14ac:dyDescent="0.25">
      <c r="A1987" t="s">
        <v>404</v>
      </c>
      <c r="B1987" t="s">
        <v>118</v>
      </c>
      <c r="C1987" s="2">
        <f>HYPERLINK("https://svao.dolgi.msk.ru/account/1760124764/", 1760124764)</f>
        <v>1760124764</v>
      </c>
      <c r="D1987">
        <v>2955.82</v>
      </c>
    </row>
    <row r="1988" spans="1:4" x14ac:dyDescent="0.25">
      <c r="A1988" t="s">
        <v>404</v>
      </c>
      <c r="B1988" t="s">
        <v>127</v>
      </c>
      <c r="C1988" s="2">
        <f>HYPERLINK("https://svao.dolgi.msk.ru/account/1760124772/", 1760124772)</f>
        <v>1760124772</v>
      </c>
      <c r="D1988">
        <v>4509.84</v>
      </c>
    </row>
    <row r="1989" spans="1:4" x14ac:dyDescent="0.25">
      <c r="A1989" t="s">
        <v>404</v>
      </c>
      <c r="B1989" t="s">
        <v>81</v>
      </c>
      <c r="C1989" s="2">
        <f>HYPERLINK("https://svao.dolgi.msk.ru/account/1760124799/", 1760124799)</f>
        <v>1760124799</v>
      </c>
      <c r="D1989">
        <v>3133.7</v>
      </c>
    </row>
    <row r="1990" spans="1:4" x14ac:dyDescent="0.25">
      <c r="A1990" t="s">
        <v>404</v>
      </c>
      <c r="B1990" t="s">
        <v>119</v>
      </c>
      <c r="C1990" s="2">
        <f>HYPERLINK("https://svao.dolgi.msk.ru/account/1760124801/", 1760124801)</f>
        <v>1760124801</v>
      </c>
      <c r="D1990">
        <v>4446.92</v>
      </c>
    </row>
    <row r="1991" spans="1:4" x14ac:dyDescent="0.25">
      <c r="A1991" t="s">
        <v>404</v>
      </c>
      <c r="B1991" t="s">
        <v>120</v>
      </c>
      <c r="C1991" s="2">
        <f>HYPERLINK("https://svao.dolgi.msk.ru/account/1761820059/", 1761820059)</f>
        <v>1761820059</v>
      </c>
      <c r="D1991">
        <v>12639.04</v>
      </c>
    </row>
    <row r="1992" spans="1:4" x14ac:dyDescent="0.25">
      <c r="A1992" t="s">
        <v>404</v>
      </c>
      <c r="B1992" t="s">
        <v>132</v>
      </c>
      <c r="C1992" s="2">
        <f>HYPERLINK("https://svao.dolgi.msk.ru/account/1760124887/", 1760124887)</f>
        <v>1760124887</v>
      </c>
      <c r="D1992">
        <v>379939.28</v>
      </c>
    </row>
    <row r="1993" spans="1:4" x14ac:dyDescent="0.25">
      <c r="A1993" t="s">
        <v>404</v>
      </c>
      <c r="B1993" t="s">
        <v>96</v>
      </c>
      <c r="C1993" s="2">
        <f>HYPERLINK("https://svao.dolgi.msk.ru/account/1760124916/", 1760124916)</f>
        <v>1760124916</v>
      </c>
      <c r="D1993">
        <v>5898.91</v>
      </c>
    </row>
    <row r="1994" spans="1:4" x14ac:dyDescent="0.25">
      <c r="A1994" t="s">
        <v>404</v>
      </c>
      <c r="B1994" t="s">
        <v>27</v>
      </c>
      <c r="C1994" s="2">
        <f>HYPERLINK("https://svao.dolgi.msk.ru/account/1760124924/", 1760124924)</f>
        <v>1760124924</v>
      </c>
      <c r="D1994">
        <v>6537.47</v>
      </c>
    </row>
    <row r="1995" spans="1:4" x14ac:dyDescent="0.25">
      <c r="A1995" t="s">
        <v>404</v>
      </c>
      <c r="B1995" t="s">
        <v>290</v>
      </c>
      <c r="C1995" s="2">
        <f>HYPERLINK("https://svao.dolgi.msk.ru/account/1760124932/", 1760124932)</f>
        <v>1760124932</v>
      </c>
      <c r="D1995">
        <v>7152.87</v>
      </c>
    </row>
    <row r="1996" spans="1:4" x14ac:dyDescent="0.25">
      <c r="A1996" t="s">
        <v>404</v>
      </c>
      <c r="B1996" t="s">
        <v>243</v>
      </c>
      <c r="C1996" s="2">
        <f>HYPERLINK("https://svao.dolgi.msk.ru/account/1760124959/", 1760124959)</f>
        <v>1760124959</v>
      </c>
      <c r="D1996">
        <v>11809.61</v>
      </c>
    </row>
    <row r="1997" spans="1:4" x14ac:dyDescent="0.25">
      <c r="A1997" t="s">
        <v>404</v>
      </c>
      <c r="B1997" t="s">
        <v>134</v>
      </c>
      <c r="C1997" s="2">
        <f>HYPERLINK("https://svao.dolgi.msk.ru/account/1760124975/", 1760124975)</f>
        <v>1760124975</v>
      </c>
      <c r="D1997">
        <v>2378.48</v>
      </c>
    </row>
    <row r="1998" spans="1:4" x14ac:dyDescent="0.25">
      <c r="A1998" t="s">
        <v>404</v>
      </c>
      <c r="B1998" t="s">
        <v>28</v>
      </c>
      <c r="C1998" s="2">
        <f>HYPERLINK("https://svao.dolgi.msk.ru/account/1760124991/", 1760124991)</f>
        <v>1760124991</v>
      </c>
      <c r="D1998">
        <v>7343.26</v>
      </c>
    </row>
    <row r="1999" spans="1:4" x14ac:dyDescent="0.25">
      <c r="A1999" t="s">
        <v>404</v>
      </c>
      <c r="B1999" t="s">
        <v>30</v>
      </c>
      <c r="C1999" s="2">
        <f>HYPERLINK("https://svao.dolgi.msk.ru/account/1760125046/", 1760125046)</f>
        <v>1760125046</v>
      </c>
      <c r="D1999">
        <v>10014.26</v>
      </c>
    </row>
    <row r="2000" spans="1:4" x14ac:dyDescent="0.25">
      <c r="A2000" t="s">
        <v>405</v>
      </c>
      <c r="B2000" t="s">
        <v>6</v>
      </c>
      <c r="C2000" s="2">
        <f>HYPERLINK("https://svao.dolgi.msk.ru/account/1760125062/", 1760125062)</f>
        <v>1760125062</v>
      </c>
      <c r="D2000">
        <v>76542.77</v>
      </c>
    </row>
    <row r="2001" spans="1:4" x14ac:dyDescent="0.25">
      <c r="A2001" t="s">
        <v>405</v>
      </c>
      <c r="B2001" t="s">
        <v>41</v>
      </c>
      <c r="C2001" s="2">
        <f>HYPERLINK("https://svao.dolgi.msk.ru/account/1760125089/", 1760125089)</f>
        <v>1760125089</v>
      </c>
      <c r="D2001">
        <v>3857.86</v>
      </c>
    </row>
    <row r="2002" spans="1:4" x14ac:dyDescent="0.25">
      <c r="A2002" t="s">
        <v>405</v>
      </c>
      <c r="B2002" t="s">
        <v>141</v>
      </c>
      <c r="C2002" s="2">
        <f>HYPERLINK("https://svao.dolgi.msk.ru/account/1760125134/", 1760125134)</f>
        <v>1760125134</v>
      </c>
      <c r="D2002">
        <v>1822</v>
      </c>
    </row>
    <row r="2003" spans="1:4" x14ac:dyDescent="0.25">
      <c r="A2003" t="s">
        <v>405</v>
      </c>
      <c r="B2003" t="s">
        <v>102</v>
      </c>
      <c r="C2003" s="2">
        <f>HYPERLINK("https://svao.dolgi.msk.ru/account/1760125142/", 1760125142)</f>
        <v>1760125142</v>
      </c>
      <c r="D2003">
        <v>3376.55</v>
      </c>
    </row>
    <row r="2004" spans="1:4" x14ac:dyDescent="0.25">
      <c r="A2004" t="s">
        <v>405</v>
      </c>
      <c r="B2004" t="s">
        <v>13</v>
      </c>
      <c r="C2004" s="2">
        <f>HYPERLINK("https://svao.dolgi.msk.ru/account/1760125329/", 1760125329)</f>
        <v>1760125329</v>
      </c>
      <c r="D2004">
        <v>5105.4799999999996</v>
      </c>
    </row>
    <row r="2005" spans="1:4" x14ac:dyDescent="0.25">
      <c r="A2005" t="s">
        <v>405</v>
      </c>
      <c r="B2005" t="s">
        <v>107</v>
      </c>
      <c r="C2005" s="2">
        <f>HYPERLINK("https://svao.dolgi.msk.ru/account/1760125353/", 1760125353)</f>
        <v>1760125353</v>
      </c>
      <c r="D2005">
        <v>16368.21</v>
      </c>
    </row>
    <row r="2006" spans="1:4" x14ac:dyDescent="0.25">
      <c r="A2006" t="s">
        <v>405</v>
      </c>
      <c r="B2006" t="s">
        <v>107</v>
      </c>
      <c r="C2006" s="2">
        <f>HYPERLINK("https://svao.dolgi.msk.ru/account/1761768318/", 1761768318)</f>
        <v>1761768318</v>
      </c>
      <c r="D2006">
        <v>8776.2000000000007</v>
      </c>
    </row>
    <row r="2007" spans="1:4" x14ac:dyDescent="0.25">
      <c r="A2007" t="s">
        <v>405</v>
      </c>
      <c r="B2007" t="s">
        <v>16</v>
      </c>
      <c r="C2007" s="2">
        <f>HYPERLINK("https://svao.dolgi.msk.ru/account/1760125396/", 1760125396)</f>
        <v>1760125396</v>
      </c>
      <c r="D2007">
        <v>2054</v>
      </c>
    </row>
    <row r="2008" spans="1:4" x14ac:dyDescent="0.25">
      <c r="A2008" t="s">
        <v>405</v>
      </c>
      <c r="B2008" t="s">
        <v>19</v>
      </c>
      <c r="C2008" s="2">
        <f>HYPERLINK("https://svao.dolgi.msk.ru/account/1760125425/", 1760125425)</f>
        <v>1760125425</v>
      </c>
      <c r="D2008">
        <v>7716.85</v>
      </c>
    </row>
    <row r="2009" spans="1:4" x14ac:dyDescent="0.25">
      <c r="A2009" t="s">
        <v>405</v>
      </c>
      <c r="B2009" t="s">
        <v>94</v>
      </c>
      <c r="C2009" s="2">
        <f>HYPERLINK("https://svao.dolgi.msk.ru/account/1760125513/", 1760125513)</f>
        <v>1760125513</v>
      </c>
      <c r="D2009">
        <v>6927.99</v>
      </c>
    </row>
    <row r="2010" spans="1:4" x14ac:dyDescent="0.25">
      <c r="A2010" t="s">
        <v>406</v>
      </c>
      <c r="B2010" t="s">
        <v>141</v>
      </c>
      <c r="C2010" s="2">
        <f>HYPERLINK("https://svao.dolgi.msk.ru/account/1760125652/", 1760125652)</f>
        <v>1760125652</v>
      </c>
      <c r="D2010">
        <v>21816.07</v>
      </c>
    </row>
    <row r="2011" spans="1:4" x14ac:dyDescent="0.25">
      <c r="A2011" t="s">
        <v>406</v>
      </c>
      <c r="B2011" t="s">
        <v>141</v>
      </c>
      <c r="C2011" s="2">
        <f>HYPERLINK("https://svao.dolgi.msk.ru/account/1760125679/", 1760125679)</f>
        <v>1760125679</v>
      </c>
      <c r="D2011">
        <v>5420.63</v>
      </c>
    </row>
    <row r="2012" spans="1:4" x14ac:dyDescent="0.25">
      <c r="A2012" t="s">
        <v>406</v>
      </c>
      <c r="B2012" t="s">
        <v>104</v>
      </c>
      <c r="C2012" s="2">
        <f>HYPERLINK("https://svao.dolgi.msk.ru/account/1760125767/", 1760125767)</f>
        <v>1760125767</v>
      </c>
      <c r="D2012">
        <v>2849.96</v>
      </c>
    </row>
    <row r="2013" spans="1:4" x14ac:dyDescent="0.25">
      <c r="A2013" t="s">
        <v>406</v>
      </c>
      <c r="B2013" t="s">
        <v>104</v>
      </c>
      <c r="C2013" s="2">
        <f>HYPERLINK("https://svao.dolgi.msk.ru/account/1760126196/", 1760126196)</f>
        <v>1760126196</v>
      </c>
      <c r="D2013">
        <v>2370.96</v>
      </c>
    </row>
    <row r="2014" spans="1:4" x14ac:dyDescent="0.25">
      <c r="A2014" t="s">
        <v>406</v>
      </c>
      <c r="B2014" t="s">
        <v>9</v>
      </c>
      <c r="C2014" s="2">
        <f>HYPERLINK("https://svao.dolgi.msk.ru/account/1760125804/", 1760125804)</f>
        <v>1760125804</v>
      </c>
      <c r="D2014">
        <v>9320.6</v>
      </c>
    </row>
    <row r="2015" spans="1:4" x14ac:dyDescent="0.25">
      <c r="A2015" t="s">
        <v>406</v>
      </c>
      <c r="B2015" t="s">
        <v>12</v>
      </c>
      <c r="C2015" s="2">
        <f>HYPERLINK("https://svao.dolgi.msk.ru/account/1760125927/", 1760125927)</f>
        <v>1760125927</v>
      </c>
      <c r="D2015">
        <v>14235.25</v>
      </c>
    </row>
    <row r="2016" spans="1:4" x14ac:dyDescent="0.25">
      <c r="A2016" t="s">
        <v>406</v>
      </c>
      <c r="B2016" t="s">
        <v>12</v>
      </c>
      <c r="C2016" s="2">
        <f>HYPERLINK("https://svao.dolgi.msk.ru/account/1760125935/", 1760125935)</f>
        <v>1760125935</v>
      </c>
      <c r="D2016">
        <v>4666.72</v>
      </c>
    </row>
    <row r="2017" spans="1:4" x14ac:dyDescent="0.25">
      <c r="A2017" t="s">
        <v>406</v>
      </c>
      <c r="B2017" t="s">
        <v>14</v>
      </c>
      <c r="C2017" s="2">
        <f>HYPERLINK("https://svao.dolgi.msk.ru/account/1760125978/", 1760125978)</f>
        <v>1760125978</v>
      </c>
      <c r="D2017">
        <v>7272.58</v>
      </c>
    </row>
    <row r="2018" spans="1:4" x14ac:dyDescent="0.25">
      <c r="A2018" t="s">
        <v>406</v>
      </c>
      <c r="B2018" t="s">
        <v>14</v>
      </c>
      <c r="C2018" s="2">
        <f>HYPERLINK("https://svao.dolgi.msk.ru/account/1760125986/", 1760125986)</f>
        <v>1760125986</v>
      </c>
      <c r="D2018">
        <v>3401.55</v>
      </c>
    </row>
    <row r="2019" spans="1:4" x14ac:dyDescent="0.25">
      <c r="A2019" t="s">
        <v>406</v>
      </c>
      <c r="B2019" t="s">
        <v>15</v>
      </c>
      <c r="C2019" s="2">
        <f>HYPERLINK("https://svao.dolgi.msk.ru/account/1760126049/", 1760126049)</f>
        <v>1760126049</v>
      </c>
      <c r="D2019">
        <v>65529.8</v>
      </c>
    </row>
    <row r="2020" spans="1:4" x14ac:dyDescent="0.25">
      <c r="A2020" t="s">
        <v>406</v>
      </c>
      <c r="B2020" t="s">
        <v>19</v>
      </c>
      <c r="C2020" s="2">
        <f>HYPERLINK("https://svao.dolgi.msk.ru/account/1760126188/", 1760126188)</f>
        <v>1760126188</v>
      </c>
      <c r="D2020">
        <v>17932.759999999998</v>
      </c>
    </row>
    <row r="2021" spans="1:4" x14ac:dyDescent="0.25">
      <c r="A2021" t="s">
        <v>407</v>
      </c>
      <c r="B2021" t="s">
        <v>92</v>
      </c>
      <c r="C2021" s="2">
        <f>HYPERLINK("https://svao.dolgi.msk.ru/account/1760126313/", 1760126313)</f>
        <v>1760126313</v>
      </c>
      <c r="D2021">
        <v>3801.64</v>
      </c>
    </row>
    <row r="2022" spans="1:4" x14ac:dyDescent="0.25">
      <c r="A2022" t="s">
        <v>407</v>
      </c>
      <c r="B2022" t="s">
        <v>111</v>
      </c>
      <c r="C2022" s="2">
        <f>HYPERLINK("https://svao.dolgi.msk.ru/account/1760126348/", 1760126348)</f>
        <v>1760126348</v>
      </c>
      <c r="D2022">
        <v>11916.29</v>
      </c>
    </row>
    <row r="2023" spans="1:4" x14ac:dyDescent="0.25">
      <c r="A2023" t="s">
        <v>407</v>
      </c>
      <c r="B2023" t="s">
        <v>112</v>
      </c>
      <c r="C2023" s="2">
        <f>HYPERLINK("https://svao.dolgi.msk.ru/account/1760126399/", 1760126399)</f>
        <v>1760126399</v>
      </c>
      <c r="D2023">
        <v>7367.44</v>
      </c>
    </row>
    <row r="2024" spans="1:4" x14ac:dyDescent="0.25">
      <c r="A2024" t="s">
        <v>407</v>
      </c>
      <c r="B2024" t="s">
        <v>113</v>
      </c>
      <c r="C2024" s="2">
        <f>HYPERLINK("https://svao.dolgi.msk.ru/account/1760126401/", 1760126401)</f>
        <v>1760126401</v>
      </c>
      <c r="D2024">
        <v>5120.28</v>
      </c>
    </row>
    <row r="2025" spans="1:4" x14ac:dyDescent="0.25">
      <c r="A2025" t="s">
        <v>407</v>
      </c>
      <c r="B2025" t="s">
        <v>77</v>
      </c>
      <c r="C2025" s="2">
        <f>HYPERLINK("https://svao.dolgi.msk.ru/account/1761793142/", 1761793142)</f>
        <v>1761793142</v>
      </c>
      <c r="D2025">
        <v>373.58</v>
      </c>
    </row>
    <row r="2026" spans="1:4" x14ac:dyDescent="0.25">
      <c r="A2026" t="s">
        <v>407</v>
      </c>
      <c r="B2026" t="s">
        <v>79</v>
      </c>
      <c r="C2026" s="2">
        <f>HYPERLINK("https://svao.dolgi.msk.ru/account/1760126516/", 1760126516)</f>
        <v>1760126516</v>
      </c>
      <c r="D2026">
        <v>1916.32</v>
      </c>
    </row>
    <row r="2027" spans="1:4" x14ac:dyDescent="0.25">
      <c r="A2027" t="s">
        <v>407</v>
      </c>
      <c r="B2027" t="s">
        <v>79</v>
      </c>
      <c r="C2027" s="2">
        <f>HYPERLINK("https://svao.dolgi.msk.ru/account/1760126524/", 1760126524)</f>
        <v>1760126524</v>
      </c>
      <c r="D2027">
        <v>1532.67</v>
      </c>
    </row>
    <row r="2028" spans="1:4" x14ac:dyDescent="0.25">
      <c r="A2028" t="s">
        <v>407</v>
      </c>
      <c r="B2028" t="s">
        <v>23</v>
      </c>
      <c r="C2028" s="2">
        <f>HYPERLINK("https://svao.dolgi.msk.ru/account/1760126532/", 1760126532)</f>
        <v>1760126532</v>
      </c>
      <c r="D2028">
        <v>14513.22</v>
      </c>
    </row>
    <row r="2029" spans="1:4" x14ac:dyDescent="0.25">
      <c r="A2029" t="s">
        <v>407</v>
      </c>
      <c r="B2029" t="s">
        <v>23</v>
      </c>
      <c r="C2029" s="2">
        <f>HYPERLINK("https://svao.dolgi.msk.ru/account/1760126559/", 1760126559)</f>
        <v>1760126559</v>
      </c>
      <c r="D2029">
        <v>5386.93</v>
      </c>
    </row>
    <row r="2030" spans="1:4" x14ac:dyDescent="0.25">
      <c r="A2030" t="s">
        <v>407</v>
      </c>
      <c r="B2030" t="s">
        <v>117</v>
      </c>
      <c r="C2030" s="2">
        <f>HYPERLINK("https://svao.dolgi.msk.ru/account/1760126604/", 1760126604)</f>
        <v>1760126604</v>
      </c>
      <c r="D2030">
        <v>7806.88</v>
      </c>
    </row>
    <row r="2031" spans="1:4" x14ac:dyDescent="0.25">
      <c r="A2031" t="s">
        <v>407</v>
      </c>
      <c r="B2031" t="s">
        <v>117</v>
      </c>
      <c r="C2031" s="2">
        <f>HYPERLINK("https://svao.dolgi.msk.ru/account/1760126612/", 1760126612)</f>
        <v>1760126612</v>
      </c>
      <c r="D2031">
        <v>4623.3599999999997</v>
      </c>
    </row>
    <row r="2032" spans="1:4" x14ac:dyDescent="0.25">
      <c r="A2032" t="s">
        <v>408</v>
      </c>
      <c r="B2032" t="s">
        <v>41</v>
      </c>
      <c r="C2032" s="2">
        <f>HYPERLINK("https://svao.dolgi.msk.ru/account/1760128618/", 1760128618)</f>
        <v>1760128618</v>
      </c>
      <c r="D2032">
        <v>7498.02</v>
      </c>
    </row>
    <row r="2033" spans="1:4" x14ac:dyDescent="0.25">
      <c r="A2033" t="s">
        <v>408</v>
      </c>
      <c r="B2033" t="s">
        <v>7</v>
      </c>
      <c r="C2033" s="2">
        <f>HYPERLINK("https://svao.dolgi.msk.ru/account/1760128634/", 1760128634)</f>
        <v>1760128634</v>
      </c>
      <c r="D2033">
        <v>5096.24</v>
      </c>
    </row>
    <row r="2034" spans="1:4" x14ac:dyDescent="0.25">
      <c r="A2034" t="s">
        <v>408</v>
      </c>
      <c r="B2034" t="s">
        <v>104</v>
      </c>
      <c r="C2034" s="2">
        <f>HYPERLINK("https://svao.dolgi.msk.ru/account/1760128706/", 1760128706)</f>
        <v>1760128706</v>
      </c>
      <c r="D2034">
        <v>5109.84</v>
      </c>
    </row>
    <row r="2035" spans="1:4" x14ac:dyDescent="0.25">
      <c r="A2035" t="s">
        <v>408</v>
      </c>
      <c r="B2035" t="s">
        <v>9</v>
      </c>
      <c r="C2035" s="2">
        <f>HYPERLINK("https://svao.dolgi.msk.ru/account/1760128757/", 1760128757)</f>
        <v>1760128757</v>
      </c>
      <c r="D2035">
        <v>5693.79</v>
      </c>
    </row>
    <row r="2036" spans="1:4" x14ac:dyDescent="0.25">
      <c r="A2036" t="s">
        <v>408</v>
      </c>
      <c r="B2036" t="s">
        <v>91</v>
      </c>
      <c r="C2036" s="2">
        <f>HYPERLINK("https://svao.dolgi.msk.ru/account/1760128773/", 1760128773)</f>
        <v>1760128773</v>
      </c>
      <c r="D2036">
        <v>55691.97</v>
      </c>
    </row>
    <row r="2037" spans="1:4" x14ac:dyDescent="0.25">
      <c r="A2037" t="s">
        <v>408</v>
      </c>
      <c r="B2037" t="s">
        <v>219</v>
      </c>
      <c r="C2037" s="2">
        <f>HYPERLINK("https://svao.dolgi.msk.ru/account/1760128802/", 1760128802)</f>
        <v>1760128802</v>
      </c>
      <c r="D2037">
        <v>129231.23</v>
      </c>
    </row>
    <row r="2038" spans="1:4" x14ac:dyDescent="0.25">
      <c r="A2038" t="s">
        <v>408</v>
      </c>
      <c r="B2038" t="s">
        <v>107</v>
      </c>
      <c r="C2038" s="2">
        <f>HYPERLINK("https://svao.dolgi.msk.ru/account/1760128888/", 1760128888)</f>
        <v>1760128888</v>
      </c>
      <c r="D2038">
        <v>4737.72</v>
      </c>
    </row>
    <row r="2039" spans="1:4" x14ac:dyDescent="0.25">
      <c r="A2039" t="s">
        <v>408</v>
      </c>
      <c r="B2039" t="s">
        <v>15</v>
      </c>
      <c r="C2039" s="2">
        <f>HYPERLINK("https://svao.dolgi.msk.ru/account/1760128896/", 1760128896)</f>
        <v>1760128896</v>
      </c>
      <c r="D2039">
        <v>4219.8900000000003</v>
      </c>
    </row>
    <row r="2040" spans="1:4" x14ac:dyDescent="0.25">
      <c r="A2040" t="s">
        <v>408</v>
      </c>
      <c r="B2040" t="s">
        <v>17</v>
      </c>
      <c r="C2040" s="2">
        <f>HYPERLINK("https://svao.dolgi.msk.ru/account/1760128925/", 1760128925)</f>
        <v>1760128925</v>
      </c>
      <c r="D2040">
        <v>3703.83</v>
      </c>
    </row>
    <row r="2041" spans="1:4" x14ac:dyDescent="0.25">
      <c r="A2041" t="s">
        <v>408</v>
      </c>
      <c r="B2041" t="s">
        <v>18</v>
      </c>
      <c r="C2041" s="2">
        <f>HYPERLINK("https://svao.dolgi.msk.ru/account/1760128933/", 1760128933)</f>
        <v>1760128933</v>
      </c>
      <c r="D2041">
        <v>3119.94</v>
      </c>
    </row>
    <row r="2042" spans="1:4" x14ac:dyDescent="0.25">
      <c r="A2042" t="s">
        <v>408</v>
      </c>
      <c r="B2042" t="s">
        <v>109</v>
      </c>
      <c r="C2042" s="2">
        <f>HYPERLINK("https://svao.dolgi.msk.ru/account/1760128976/", 1760128976)</f>
        <v>1760128976</v>
      </c>
      <c r="D2042">
        <v>4278.92</v>
      </c>
    </row>
    <row r="2043" spans="1:4" x14ac:dyDescent="0.25">
      <c r="A2043" t="s">
        <v>408</v>
      </c>
      <c r="B2043" t="s">
        <v>20</v>
      </c>
      <c r="C2043" s="2">
        <f>HYPERLINK("https://svao.dolgi.msk.ru/account/1760128992/", 1760128992)</f>
        <v>1760128992</v>
      </c>
      <c r="D2043">
        <v>5771.15</v>
      </c>
    </row>
    <row r="2044" spans="1:4" x14ac:dyDescent="0.25">
      <c r="A2044" t="s">
        <v>409</v>
      </c>
      <c r="B2044" t="s">
        <v>103</v>
      </c>
      <c r="C2044" s="2">
        <f>HYPERLINK("https://svao.dolgi.msk.ru/account/1760126655/", 1760126655)</f>
        <v>1760126655</v>
      </c>
      <c r="D2044">
        <v>47743.57</v>
      </c>
    </row>
    <row r="2045" spans="1:4" x14ac:dyDescent="0.25">
      <c r="A2045" t="s">
        <v>409</v>
      </c>
      <c r="B2045" t="s">
        <v>74</v>
      </c>
      <c r="C2045" s="2">
        <f>HYPERLINK("https://svao.dolgi.msk.ru/account/1760126719/", 1760126719)</f>
        <v>1760126719</v>
      </c>
      <c r="D2045">
        <v>2849.2</v>
      </c>
    </row>
    <row r="2046" spans="1:4" x14ac:dyDescent="0.25">
      <c r="A2046" t="s">
        <v>409</v>
      </c>
      <c r="B2046" t="s">
        <v>91</v>
      </c>
      <c r="C2046" s="2">
        <f>HYPERLINK("https://svao.dolgi.msk.ru/account/1760126751/", 1760126751)</f>
        <v>1760126751</v>
      </c>
      <c r="D2046">
        <v>2872.47</v>
      </c>
    </row>
    <row r="2047" spans="1:4" x14ac:dyDescent="0.25">
      <c r="A2047" t="s">
        <v>409</v>
      </c>
      <c r="B2047" t="s">
        <v>10</v>
      </c>
      <c r="C2047" s="2">
        <f>HYPERLINK("https://svao.dolgi.msk.ru/account/1760126778/", 1760126778)</f>
        <v>1760126778</v>
      </c>
      <c r="D2047">
        <v>24001.05</v>
      </c>
    </row>
    <row r="2048" spans="1:4" x14ac:dyDescent="0.25">
      <c r="A2048" t="s">
        <v>409</v>
      </c>
      <c r="B2048" t="s">
        <v>94</v>
      </c>
      <c r="C2048" s="2">
        <f>HYPERLINK("https://svao.dolgi.msk.ru/account/1760127025/", 1760127025)</f>
        <v>1760127025</v>
      </c>
      <c r="D2048">
        <v>2776.25</v>
      </c>
    </row>
    <row r="2049" spans="1:4" x14ac:dyDescent="0.25">
      <c r="A2049" t="s">
        <v>409</v>
      </c>
      <c r="B2049" t="s">
        <v>77</v>
      </c>
      <c r="C2049" s="2">
        <f>HYPERLINK("https://svao.dolgi.msk.ru/account/1760127076/", 1760127076)</f>
        <v>1760127076</v>
      </c>
      <c r="D2049">
        <v>1383.24</v>
      </c>
    </row>
    <row r="2050" spans="1:4" x14ac:dyDescent="0.25">
      <c r="A2050" t="s">
        <v>409</v>
      </c>
      <c r="B2050" t="s">
        <v>79</v>
      </c>
      <c r="C2050" s="2">
        <f>HYPERLINK("https://svao.dolgi.msk.ru/account/1760127113/", 1760127113)</f>
        <v>1760127113</v>
      </c>
      <c r="D2050">
        <v>1060.6099999999999</v>
      </c>
    </row>
    <row r="2051" spans="1:4" x14ac:dyDescent="0.25">
      <c r="A2051" t="s">
        <v>409</v>
      </c>
      <c r="B2051" t="s">
        <v>314</v>
      </c>
      <c r="C2051" s="2">
        <f>HYPERLINK("https://svao.dolgi.msk.ru/account/1760127201/", 1760127201)</f>
        <v>1760127201</v>
      </c>
      <c r="D2051">
        <v>5618.02</v>
      </c>
    </row>
    <row r="2052" spans="1:4" x14ac:dyDescent="0.25">
      <c r="A2052" t="s">
        <v>409</v>
      </c>
      <c r="B2052" t="s">
        <v>131</v>
      </c>
      <c r="C2052" s="2">
        <f>HYPERLINK("https://svao.dolgi.msk.ru/account/1760127244/", 1760127244)</f>
        <v>1760127244</v>
      </c>
      <c r="D2052">
        <v>3961.23</v>
      </c>
    </row>
    <row r="2053" spans="1:4" x14ac:dyDescent="0.25">
      <c r="A2053" t="s">
        <v>409</v>
      </c>
      <c r="B2053" t="s">
        <v>80</v>
      </c>
      <c r="C2053" s="2">
        <f>HYPERLINK("https://svao.dolgi.msk.ru/account/1760127287/", 1760127287)</f>
        <v>1760127287</v>
      </c>
      <c r="D2053">
        <v>6074.22</v>
      </c>
    </row>
    <row r="2054" spans="1:4" x14ac:dyDescent="0.25">
      <c r="A2054" t="s">
        <v>409</v>
      </c>
      <c r="B2054" t="s">
        <v>127</v>
      </c>
      <c r="C2054" s="2">
        <f>HYPERLINK("https://svao.dolgi.msk.ru/account/1760127308/", 1760127308)</f>
        <v>1760127308</v>
      </c>
      <c r="D2054">
        <v>3840.73</v>
      </c>
    </row>
    <row r="2055" spans="1:4" x14ac:dyDescent="0.25">
      <c r="A2055" t="s">
        <v>409</v>
      </c>
      <c r="B2055" t="s">
        <v>82</v>
      </c>
      <c r="C2055" s="2">
        <f>HYPERLINK("https://svao.dolgi.msk.ru/account/1760127359/", 1760127359)</f>
        <v>1760127359</v>
      </c>
      <c r="D2055">
        <v>7796.98</v>
      </c>
    </row>
    <row r="2056" spans="1:4" x14ac:dyDescent="0.25">
      <c r="A2056" t="s">
        <v>409</v>
      </c>
      <c r="B2056" t="s">
        <v>133</v>
      </c>
      <c r="C2056" s="2">
        <f>HYPERLINK("https://svao.dolgi.msk.ru/account/1760127412/", 1760127412)</f>
        <v>1760127412</v>
      </c>
      <c r="D2056">
        <v>4932.8599999999997</v>
      </c>
    </row>
    <row r="2057" spans="1:4" x14ac:dyDescent="0.25">
      <c r="A2057" t="s">
        <v>409</v>
      </c>
      <c r="B2057" t="s">
        <v>96</v>
      </c>
      <c r="C2057" s="2">
        <f>HYPERLINK("https://svao.dolgi.msk.ru/account/1760127439/", 1760127439)</f>
        <v>1760127439</v>
      </c>
      <c r="D2057">
        <v>7433.15</v>
      </c>
    </row>
    <row r="2058" spans="1:4" x14ac:dyDescent="0.25">
      <c r="A2058" t="s">
        <v>409</v>
      </c>
      <c r="B2058" t="s">
        <v>121</v>
      </c>
      <c r="C2058" s="2">
        <f>HYPERLINK("https://svao.dolgi.msk.ru/account/1760127471/", 1760127471)</f>
        <v>1760127471</v>
      </c>
      <c r="D2058">
        <v>5485.99</v>
      </c>
    </row>
    <row r="2059" spans="1:4" x14ac:dyDescent="0.25">
      <c r="A2059" t="s">
        <v>409</v>
      </c>
      <c r="B2059" t="s">
        <v>134</v>
      </c>
      <c r="C2059" s="2">
        <f>HYPERLINK("https://svao.dolgi.msk.ru/account/1760127498/", 1760127498)</f>
        <v>1760127498</v>
      </c>
      <c r="D2059">
        <v>1296.04</v>
      </c>
    </row>
    <row r="2060" spans="1:4" x14ac:dyDescent="0.25">
      <c r="A2060" t="s">
        <v>409</v>
      </c>
      <c r="B2060" t="s">
        <v>28</v>
      </c>
      <c r="C2060" s="2">
        <f>HYPERLINK("https://svao.dolgi.msk.ru/account/1760127527/", 1760127527)</f>
        <v>1760127527</v>
      </c>
      <c r="D2060">
        <v>12459.98</v>
      </c>
    </row>
    <row r="2061" spans="1:4" x14ac:dyDescent="0.25">
      <c r="A2061" t="s">
        <v>410</v>
      </c>
      <c r="B2061" t="s">
        <v>41</v>
      </c>
      <c r="C2061" s="2">
        <f>HYPERLINK("https://svao.dolgi.msk.ru/account/1760129071/", 1760129071)</f>
        <v>1760129071</v>
      </c>
      <c r="D2061">
        <v>5025.8500000000004</v>
      </c>
    </row>
    <row r="2062" spans="1:4" x14ac:dyDescent="0.25">
      <c r="A2062" t="s">
        <v>410</v>
      </c>
      <c r="B2062" t="s">
        <v>7</v>
      </c>
      <c r="C2062" s="2">
        <f>HYPERLINK("https://svao.dolgi.msk.ru/account/1760129119/", 1760129119)</f>
        <v>1760129119</v>
      </c>
      <c r="D2062">
        <v>27157.46</v>
      </c>
    </row>
    <row r="2063" spans="1:4" x14ac:dyDescent="0.25">
      <c r="A2063" t="s">
        <v>410</v>
      </c>
      <c r="B2063" t="s">
        <v>103</v>
      </c>
      <c r="C2063" s="2">
        <f>HYPERLINK("https://svao.dolgi.msk.ru/account/1760129151/", 1760129151)</f>
        <v>1760129151</v>
      </c>
      <c r="D2063">
        <v>2553.77</v>
      </c>
    </row>
    <row r="2064" spans="1:4" x14ac:dyDescent="0.25">
      <c r="A2064" t="s">
        <v>410</v>
      </c>
      <c r="B2064" t="s">
        <v>8</v>
      </c>
      <c r="C2064" s="2">
        <f>HYPERLINK("https://svao.dolgi.msk.ru/account/1760129194/", 1760129194)</f>
        <v>1760129194</v>
      </c>
      <c r="D2064">
        <v>5324.13</v>
      </c>
    </row>
    <row r="2065" spans="1:4" x14ac:dyDescent="0.25">
      <c r="A2065" t="s">
        <v>410</v>
      </c>
      <c r="B2065" t="s">
        <v>75</v>
      </c>
      <c r="C2065" s="2">
        <f>HYPERLINK("https://svao.dolgi.msk.ru/account/1760129231/", 1760129231)</f>
        <v>1760129231</v>
      </c>
      <c r="D2065">
        <v>12941.52</v>
      </c>
    </row>
    <row r="2066" spans="1:4" x14ac:dyDescent="0.25">
      <c r="A2066" t="s">
        <v>410</v>
      </c>
      <c r="B2066" t="s">
        <v>10</v>
      </c>
      <c r="C2066" s="2">
        <f>HYPERLINK("https://svao.dolgi.msk.ru/account/1760129266/", 1760129266)</f>
        <v>1760129266</v>
      </c>
      <c r="D2066">
        <v>105807.56</v>
      </c>
    </row>
    <row r="2067" spans="1:4" x14ac:dyDescent="0.25">
      <c r="A2067" t="s">
        <v>410</v>
      </c>
      <c r="B2067" t="s">
        <v>11</v>
      </c>
      <c r="C2067" s="2">
        <f>HYPERLINK("https://svao.dolgi.msk.ru/account/1761768342/", 1761768342)</f>
        <v>1761768342</v>
      </c>
      <c r="D2067">
        <v>331.95</v>
      </c>
    </row>
    <row r="2068" spans="1:4" x14ac:dyDescent="0.25">
      <c r="A2068" t="s">
        <v>410</v>
      </c>
      <c r="B2068" t="s">
        <v>14</v>
      </c>
      <c r="C2068" s="2">
        <f>HYPERLINK("https://svao.dolgi.msk.ru/account/1760129338/", 1760129338)</f>
        <v>1760129338</v>
      </c>
      <c r="D2068">
        <v>27020.560000000001</v>
      </c>
    </row>
    <row r="2069" spans="1:4" x14ac:dyDescent="0.25">
      <c r="A2069" t="s">
        <v>410</v>
      </c>
      <c r="B2069" t="s">
        <v>107</v>
      </c>
      <c r="C2069" s="2">
        <f>HYPERLINK("https://svao.dolgi.msk.ru/account/1760129354/", 1760129354)</f>
        <v>1760129354</v>
      </c>
      <c r="D2069">
        <v>1168.98</v>
      </c>
    </row>
    <row r="2070" spans="1:4" x14ac:dyDescent="0.25">
      <c r="A2070" t="s">
        <v>410</v>
      </c>
      <c r="B2070" t="s">
        <v>110</v>
      </c>
      <c r="C2070" s="2">
        <f>HYPERLINK("https://svao.dolgi.msk.ru/account/1760129469/", 1760129469)</f>
        <v>1760129469</v>
      </c>
      <c r="D2070">
        <v>1057.6600000000001</v>
      </c>
    </row>
    <row r="2071" spans="1:4" x14ac:dyDescent="0.25">
      <c r="A2071" t="s">
        <v>410</v>
      </c>
      <c r="B2071" t="s">
        <v>20</v>
      </c>
      <c r="C2071" s="2">
        <f>HYPERLINK("https://svao.dolgi.msk.ru/account/1760129477/", 1760129477)</f>
        <v>1760129477</v>
      </c>
      <c r="D2071">
        <v>20071.169999999998</v>
      </c>
    </row>
    <row r="2072" spans="1:4" x14ac:dyDescent="0.25">
      <c r="A2072" t="s">
        <v>410</v>
      </c>
      <c r="B2072" t="s">
        <v>93</v>
      </c>
      <c r="C2072" s="2">
        <f>HYPERLINK("https://svao.dolgi.msk.ru/account/1760129506/", 1760129506)</f>
        <v>1760129506</v>
      </c>
      <c r="D2072">
        <v>9090.5400000000009</v>
      </c>
    </row>
    <row r="2073" spans="1:4" x14ac:dyDescent="0.25">
      <c r="A2073" t="s">
        <v>410</v>
      </c>
      <c r="B2073" t="s">
        <v>77</v>
      </c>
      <c r="C2073" s="2">
        <f>HYPERLINK("https://svao.dolgi.msk.ru/account/1760129573/", 1760129573)</f>
        <v>1760129573</v>
      </c>
      <c r="D2073">
        <v>3155.07</v>
      </c>
    </row>
    <row r="2074" spans="1:4" x14ac:dyDescent="0.25">
      <c r="A2074" t="s">
        <v>410</v>
      </c>
      <c r="B2074" t="s">
        <v>114</v>
      </c>
      <c r="C2074" s="2">
        <f>HYPERLINK("https://svao.dolgi.msk.ru/account/1760129581/", 1760129581)</f>
        <v>1760129581</v>
      </c>
      <c r="D2074">
        <v>6271.8</v>
      </c>
    </row>
    <row r="2075" spans="1:4" x14ac:dyDescent="0.25">
      <c r="A2075" t="s">
        <v>410</v>
      </c>
      <c r="B2075" t="s">
        <v>23</v>
      </c>
      <c r="C2075" s="2">
        <f>HYPERLINK("https://svao.dolgi.msk.ru/account/1760129645/", 1760129645)</f>
        <v>1760129645</v>
      </c>
      <c r="D2075">
        <v>36271.160000000003</v>
      </c>
    </row>
    <row r="2076" spans="1:4" x14ac:dyDescent="0.25">
      <c r="A2076" t="s">
        <v>410</v>
      </c>
      <c r="B2076" t="s">
        <v>124</v>
      </c>
      <c r="C2076" s="2">
        <f>HYPERLINK("https://svao.dolgi.msk.ru/account/1760129653/", 1760129653)</f>
        <v>1760129653</v>
      </c>
      <c r="D2076">
        <v>9777.7999999999993</v>
      </c>
    </row>
    <row r="2077" spans="1:4" x14ac:dyDescent="0.25">
      <c r="A2077" t="s">
        <v>410</v>
      </c>
      <c r="B2077" t="s">
        <v>117</v>
      </c>
      <c r="C2077" s="2">
        <f>HYPERLINK("https://svao.dolgi.msk.ru/account/1760129661/", 1760129661)</f>
        <v>1760129661</v>
      </c>
      <c r="D2077">
        <v>221760.95</v>
      </c>
    </row>
    <row r="2078" spans="1:4" x14ac:dyDescent="0.25">
      <c r="A2078" t="s">
        <v>410</v>
      </c>
      <c r="B2078" t="s">
        <v>242</v>
      </c>
      <c r="C2078" s="2">
        <f>HYPERLINK("https://svao.dolgi.msk.ru/account/1760129725/", 1760129725)</f>
        <v>1760129725</v>
      </c>
      <c r="D2078">
        <v>2579.92</v>
      </c>
    </row>
    <row r="2079" spans="1:4" x14ac:dyDescent="0.25">
      <c r="A2079" t="s">
        <v>410</v>
      </c>
      <c r="B2079" t="s">
        <v>118</v>
      </c>
      <c r="C2079" s="2">
        <f>HYPERLINK("https://svao.dolgi.msk.ru/account/1760129792/", 1760129792)</f>
        <v>1760129792</v>
      </c>
      <c r="D2079">
        <v>1667.12</v>
      </c>
    </row>
    <row r="2080" spans="1:4" x14ac:dyDescent="0.25">
      <c r="A2080" t="s">
        <v>411</v>
      </c>
      <c r="B2080" t="s">
        <v>6</v>
      </c>
      <c r="C2080" s="2">
        <f>HYPERLINK("https://svao.dolgi.msk.ru/account/1760127594/", 1760127594)</f>
        <v>1760127594</v>
      </c>
      <c r="D2080">
        <v>4203.4799999999996</v>
      </c>
    </row>
    <row r="2081" spans="1:4" x14ac:dyDescent="0.25">
      <c r="A2081" t="s">
        <v>411</v>
      </c>
      <c r="B2081" t="s">
        <v>41</v>
      </c>
      <c r="C2081" s="2">
        <f>HYPERLINK("https://svao.dolgi.msk.ru/account/1760127607/", 1760127607)</f>
        <v>1760127607</v>
      </c>
      <c r="D2081">
        <v>27886.55</v>
      </c>
    </row>
    <row r="2082" spans="1:4" x14ac:dyDescent="0.25">
      <c r="A2082" t="s">
        <v>411</v>
      </c>
      <c r="B2082" t="s">
        <v>102</v>
      </c>
      <c r="C2082" s="2">
        <f>HYPERLINK("https://svao.dolgi.msk.ru/account/1760127666/", 1760127666)</f>
        <v>1760127666</v>
      </c>
      <c r="D2082">
        <v>8428.2000000000007</v>
      </c>
    </row>
    <row r="2083" spans="1:4" x14ac:dyDescent="0.25">
      <c r="A2083" t="s">
        <v>411</v>
      </c>
      <c r="B2083" t="s">
        <v>73</v>
      </c>
      <c r="C2083" s="2">
        <f>HYPERLINK("https://svao.dolgi.msk.ru/account/1760127682/", 1760127682)</f>
        <v>1760127682</v>
      </c>
      <c r="D2083">
        <v>3385.62</v>
      </c>
    </row>
    <row r="2084" spans="1:4" x14ac:dyDescent="0.25">
      <c r="A2084" t="s">
        <v>411</v>
      </c>
      <c r="B2084" t="s">
        <v>104</v>
      </c>
      <c r="C2084" s="2">
        <f>HYPERLINK("https://svao.dolgi.msk.ru/account/1760127703/", 1760127703)</f>
        <v>1760127703</v>
      </c>
      <c r="D2084">
        <v>630</v>
      </c>
    </row>
    <row r="2085" spans="1:4" x14ac:dyDescent="0.25">
      <c r="A2085" t="s">
        <v>411</v>
      </c>
      <c r="B2085" t="s">
        <v>8</v>
      </c>
      <c r="C2085" s="2">
        <f>HYPERLINK("https://svao.dolgi.msk.ru/account/1760127711/", 1760127711)</f>
        <v>1760127711</v>
      </c>
      <c r="D2085">
        <v>8731.02</v>
      </c>
    </row>
    <row r="2086" spans="1:4" x14ac:dyDescent="0.25">
      <c r="A2086" t="s">
        <v>411</v>
      </c>
      <c r="B2086" t="s">
        <v>9</v>
      </c>
      <c r="C2086" s="2">
        <f>HYPERLINK("https://svao.dolgi.msk.ru/account/1760127754/", 1760127754)</f>
        <v>1760127754</v>
      </c>
      <c r="D2086">
        <v>2164.29</v>
      </c>
    </row>
    <row r="2087" spans="1:4" x14ac:dyDescent="0.25">
      <c r="A2087" t="s">
        <v>411</v>
      </c>
      <c r="B2087" t="s">
        <v>91</v>
      </c>
      <c r="C2087" s="2">
        <f>HYPERLINK("https://svao.dolgi.msk.ru/account/1760127789/", 1760127789)</f>
        <v>1760127789</v>
      </c>
      <c r="D2087">
        <v>846581.75</v>
      </c>
    </row>
    <row r="2088" spans="1:4" x14ac:dyDescent="0.25">
      <c r="A2088" t="s">
        <v>411</v>
      </c>
      <c r="B2088" t="s">
        <v>219</v>
      </c>
      <c r="C2088" s="2">
        <f>HYPERLINK("https://svao.dolgi.msk.ru/account/1760127818/", 1760127818)</f>
        <v>1760127818</v>
      </c>
      <c r="D2088">
        <v>1471.55</v>
      </c>
    </row>
    <row r="2089" spans="1:4" x14ac:dyDescent="0.25">
      <c r="A2089" t="s">
        <v>411</v>
      </c>
      <c r="B2089" t="s">
        <v>13</v>
      </c>
      <c r="C2089" s="2">
        <f>HYPERLINK("https://svao.dolgi.msk.ru/account/1760127842/", 1760127842)</f>
        <v>1760127842</v>
      </c>
      <c r="D2089">
        <v>678.29</v>
      </c>
    </row>
    <row r="2090" spans="1:4" x14ac:dyDescent="0.25">
      <c r="A2090" t="s">
        <v>411</v>
      </c>
      <c r="B2090" t="s">
        <v>106</v>
      </c>
      <c r="C2090" s="2">
        <f>HYPERLINK("https://svao.dolgi.msk.ru/account/1760127877/", 1760127877)</f>
        <v>1760127877</v>
      </c>
      <c r="D2090">
        <v>5048.63</v>
      </c>
    </row>
    <row r="2091" spans="1:4" x14ac:dyDescent="0.25">
      <c r="A2091" t="s">
        <v>411</v>
      </c>
      <c r="B2091" t="s">
        <v>18</v>
      </c>
      <c r="C2091" s="2">
        <f>HYPERLINK("https://svao.dolgi.msk.ru/account/1760127949/", 1760127949)</f>
        <v>1760127949</v>
      </c>
      <c r="D2091">
        <v>70207.56</v>
      </c>
    </row>
    <row r="2092" spans="1:4" x14ac:dyDescent="0.25">
      <c r="A2092" t="s">
        <v>411</v>
      </c>
      <c r="B2092" t="s">
        <v>18</v>
      </c>
      <c r="C2092" s="2">
        <f>HYPERLINK("https://svao.dolgi.msk.ru/account/1761792852/", 1761792852)</f>
        <v>1761792852</v>
      </c>
      <c r="D2092">
        <v>28241.279999999999</v>
      </c>
    </row>
    <row r="2093" spans="1:4" x14ac:dyDescent="0.25">
      <c r="A2093" t="s">
        <v>411</v>
      </c>
      <c r="B2093" t="s">
        <v>109</v>
      </c>
      <c r="C2093" s="2">
        <f>HYPERLINK("https://svao.dolgi.msk.ru/account/1760127965/", 1760127965)</f>
        <v>1760127965</v>
      </c>
      <c r="D2093">
        <v>14246.64</v>
      </c>
    </row>
    <row r="2094" spans="1:4" x14ac:dyDescent="0.25">
      <c r="A2094" t="s">
        <v>411</v>
      </c>
      <c r="B2094" t="s">
        <v>94</v>
      </c>
      <c r="C2094" s="2">
        <f>HYPERLINK("https://svao.dolgi.msk.ru/account/1760128052/", 1760128052)</f>
        <v>1760128052</v>
      </c>
      <c r="D2094">
        <v>880.99</v>
      </c>
    </row>
    <row r="2095" spans="1:4" x14ac:dyDescent="0.25">
      <c r="A2095" t="s">
        <v>411</v>
      </c>
      <c r="B2095" t="s">
        <v>113</v>
      </c>
      <c r="C2095" s="2">
        <f>HYPERLINK("https://svao.dolgi.msk.ru/account/1760128087/", 1760128087)</f>
        <v>1760128087</v>
      </c>
      <c r="D2095">
        <v>4478.05</v>
      </c>
    </row>
    <row r="2096" spans="1:4" x14ac:dyDescent="0.25">
      <c r="A2096" t="s">
        <v>411</v>
      </c>
      <c r="B2096" t="s">
        <v>78</v>
      </c>
      <c r="C2096" s="2">
        <f>HYPERLINK("https://svao.dolgi.msk.ru/account/1761793169/", 1761793169)</f>
        <v>1761793169</v>
      </c>
      <c r="D2096">
        <v>5224.26</v>
      </c>
    </row>
    <row r="2097" spans="1:4" x14ac:dyDescent="0.25">
      <c r="A2097" t="s">
        <v>411</v>
      </c>
      <c r="B2097" t="s">
        <v>78</v>
      </c>
      <c r="C2097" s="2">
        <f>HYPERLINK("https://svao.dolgi.msk.ru/account/1761793193/", 1761793193)</f>
        <v>1761793193</v>
      </c>
      <c r="D2097">
        <v>16895.87</v>
      </c>
    </row>
    <row r="2098" spans="1:4" x14ac:dyDescent="0.25">
      <c r="A2098" t="s">
        <v>411</v>
      </c>
      <c r="B2098" t="s">
        <v>79</v>
      </c>
      <c r="C2098" s="2">
        <f>HYPERLINK("https://svao.dolgi.msk.ru/account/1760128159/", 1760128159)</f>
        <v>1760128159</v>
      </c>
      <c r="D2098">
        <v>3098.31</v>
      </c>
    </row>
    <row r="2099" spans="1:4" x14ac:dyDescent="0.25">
      <c r="A2099" t="s">
        <v>411</v>
      </c>
      <c r="B2099" t="s">
        <v>23</v>
      </c>
      <c r="C2099" s="2">
        <f>HYPERLINK("https://svao.dolgi.msk.ru/account/1760128167/", 1760128167)</f>
        <v>1760128167</v>
      </c>
      <c r="D2099">
        <v>2414.83</v>
      </c>
    </row>
    <row r="2100" spans="1:4" x14ac:dyDescent="0.25">
      <c r="A2100" t="s">
        <v>411</v>
      </c>
      <c r="B2100" t="s">
        <v>320</v>
      </c>
      <c r="C2100" s="2">
        <f>HYPERLINK("https://svao.dolgi.msk.ru/account/1760128204/", 1760128204)</f>
        <v>1760128204</v>
      </c>
      <c r="D2100">
        <v>3464.61</v>
      </c>
    </row>
    <row r="2101" spans="1:4" x14ac:dyDescent="0.25">
      <c r="A2101" t="s">
        <v>411</v>
      </c>
      <c r="B2101" t="s">
        <v>118</v>
      </c>
      <c r="C2101" s="2">
        <f>HYPERLINK("https://svao.dolgi.msk.ru/account/1760128327/", 1760128327)</f>
        <v>1760128327</v>
      </c>
      <c r="D2101">
        <v>567.61</v>
      </c>
    </row>
    <row r="2102" spans="1:4" x14ac:dyDescent="0.25">
      <c r="A2102" t="s">
        <v>411</v>
      </c>
      <c r="B2102" t="s">
        <v>127</v>
      </c>
      <c r="C2102" s="2">
        <f>HYPERLINK("https://svao.dolgi.msk.ru/account/1760128335/", 1760128335)</f>
        <v>1760128335</v>
      </c>
      <c r="D2102">
        <v>2924.1</v>
      </c>
    </row>
    <row r="2103" spans="1:4" x14ac:dyDescent="0.25">
      <c r="A2103" t="s">
        <v>411</v>
      </c>
      <c r="B2103" t="s">
        <v>119</v>
      </c>
      <c r="C2103" s="2">
        <f>HYPERLINK("https://svao.dolgi.msk.ru/account/1760128378/", 1760128378)</f>
        <v>1760128378</v>
      </c>
      <c r="D2103">
        <v>3353.35</v>
      </c>
    </row>
    <row r="2104" spans="1:4" x14ac:dyDescent="0.25">
      <c r="A2104" t="s">
        <v>411</v>
      </c>
      <c r="B2104" t="s">
        <v>120</v>
      </c>
      <c r="C2104" s="2">
        <f>HYPERLINK("https://svao.dolgi.msk.ru/account/1760128386/", 1760128386)</f>
        <v>1760128386</v>
      </c>
      <c r="D2104">
        <v>190.95</v>
      </c>
    </row>
    <row r="2105" spans="1:4" x14ac:dyDescent="0.25">
      <c r="A2105" t="s">
        <v>411</v>
      </c>
      <c r="B2105" t="s">
        <v>82</v>
      </c>
      <c r="C2105" s="2">
        <f>HYPERLINK("https://svao.dolgi.msk.ru/account/1760128394/", 1760128394)</f>
        <v>1760128394</v>
      </c>
      <c r="D2105">
        <v>40386.879999999997</v>
      </c>
    </row>
    <row r="2106" spans="1:4" x14ac:dyDescent="0.25">
      <c r="A2106" t="s">
        <v>411</v>
      </c>
      <c r="B2106" t="s">
        <v>128</v>
      </c>
      <c r="C2106" s="2">
        <f>HYPERLINK("https://svao.dolgi.msk.ru/account/1760128407/", 1760128407)</f>
        <v>1760128407</v>
      </c>
      <c r="D2106">
        <v>4295.92</v>
      </c>
    </row>
    <row r="2107" spans="1:4" x14ac:dyDescent="0.25">
      <c r="A2107" t="s">
        <v>411</v>
      </c>
      <c r="B2107" t="s">
        <v>26</v>
      </c>
      <c r="C2107" s="2">
        <f>HYPERLINK("https://svao.dolgi.msk.ru/account/1760128458/", 1760128458)</f>
        <v>1760128458</v>
      </c>
      <c r="D2107">
        <v>6956.78</v>
      </c>
    </row>
    <row r="2108" spans="1:4" x14ac:dyDescent="0.25">
      <c r="A2108" t="s">
        <v>411</v>
      </c>
      <c r="B2108" t="s">
        <v>96</v>
      </c>
      <c r="C2108" s="2">
        <f>HYPERLINK("https://svao.dolgi.msk.ru/account/1760128474/", 1760128474)</f>
        <v>1760128474</v>
      </c>
      <c r="D2108">
        <v>2683.64</v>
      </c>
    </row>
    <row r="2109" spans="1:4" x14ac:dyDescent="0.25">
      <c r="A2109" t="s">
        <v>411</v>
      </c>
      <c r="B2109" t="s">
        <v>290</v>
      </c>
      <c r="C2109" s="2">
        <f>HYPERLINK("https://svao.dolgi.msk.ru/account/1760128503/", 1760128503)</f>
        <v>1760128503</v>
      </c>
      <c r="D2109">
        <v>4668.99</v>
      </c>
    </row>
    <row r="2110" spans="1:4" x14ac:dyDescent="0.25">
      <c r="A2110" t="s">
        <v>411</v>
      </c>
      <c r="B2110" t="s">
        <v>121</v>
      </c>
      <c r="C2110" s="2">
        <f>HYPERLINK("https://svao.dolgi.msk.ru/account/1760128538/", 1760128538)</f>
        <v>1760128538</v>
      </c>
      <c r="D2110">
        <v>2290.67</v>
      </c>
    </row>
    <row r="2111" spans="1:4" x14ac:dyDescent="0.25">
      <c r="A2111" t="s">
        <v>411</v>
      </c>
      <c r="B2111" t="s">
        <v>28</v>
      </c>
      <c r="C2111" s="2">
        <f>HYPERLINK("https://svao.dolgi.msk.ru/account/1760128562/", 1760128562)</f>
        <v>1760128562</v>
      </c>
      <c r="D2111">
        <v>3141.14</v>
      </c>
    </row>
    <row r="2112" spans="1:4" x14ac:dyDescent="0.25">
      <c r="A2112" t="s">
        <v>411</v>
      </c>
      <c r="B2112" t="s">
        <v>29</v>
      </c>
      <c r="C2112" s="2">
        <f>HYPERLINK("https://svao.dolgi.msk.ru/account/1760128589/", 1760128589)</f>
        <v>1760128589</v>
      </c>
      <c r="D2112">
        <v>253.93</v>
      </c>
    </row>
    <row r="2113" spans="1:4" x14ac:dyDescent="0.25">
      <c r="A2113" t="s">
        <v>412</v>
      </c>
      <c r="B2113" t="s">
        <v>6</v>
      </c>
      <c r="C2113" s="2">
        <f>HYPERLINK("https://svao.dolgi.msk.ru/account/1760012113/", 1760012113)</f>
        <v>1760012113</v>
      </c>
      <c r="D2113">
        <v>3095.06</v>
      </c>
    </row>
    <row r="2114" spans="1:4" x14ac:dyDescent="0.25">
      <c r="A2114" t="s">
        <v>412</v>
      </c>
      <c r="B2114" t="s">
        <v>5</v>
      </c>
      <c r="C2114" s="2">
        <f>HYPERLINK("https://svao.dolgi.msk.ru/account/1760012148/", 1760012148)</f>
        <v>1760012148</v>
      </c>
      <c r="D2114">
        <v>95640.28</v>
      </c>
    </row>
    <row r="2115" spans="1:4" x14ac:dyDescent="0.25">
      <c r="A2115" t="s">
        <v>412</v>
      </c>
      <c r="B2115" t="s">
        <v>102</v>
      </c>
      <c r="C2115" s="2">
        <f>HYPERLINK("https://svao.dolgi.msk.ru/account/1760012199/", 1760012199)</f>
        <v>1760012199</v>
      </c>
      <c r="D2115">
        <v>59458.16</v>
      </c>
    </row>
    <row r="2116" spans="1:4" x14ac:dyDescent="0.25">
      <c r="A2116" t="s">
        <v>412</v>
      </c>
      <c r="B2116" t="s">
        <v>103</v>
      </c>
      <c r="C2116" s="2">
        <f>HYPERLINK("https://svao.dolgi.msk.ru/account/1760012201/", 1760012201)</f>
        <v>1760012201</v>
      </c>
      <c r="D2116">
        <v>3373.93</v>
      </c>
    </row>
    <row r="2117" spans="1:4" x14ac:dyDescent="0.25">
      <c r="A2117" t="s">
        <v>412</v>
      </c>
      <c r="B2117" t="s">
        <v>104</v>
      </c>
      <c r="C2117" s="2">
        <f>HYPERLINK("https://svao.dolgi.msk.ru/account/1760012236/", 1760012236)</f>
        <v>1760012236</v>
      </c>
      <c r="D2117">
        <v>10913.36</v>
      </c>
    </row>
    <row r="2118" spans="1:4" x14ac:dyDescent="0.25">
      <c r="A2118" t="s">
        <v>412</v>
      </c>
      <c r="B2118" t="s">
        <v>74</v>
      </c>
      <c r="C2118" s="2">
        <f>HYPERLINK("https://svao.dolgi.msk.ru/account/1760012252/", 1760012252)</f>
        <v>1760012252</v>
      </c>
      <c r="D2118">
        <v>635.87</v>
      </c>
    </row>
    <row r="2119" spans="1:4" x14ac:dyDescent="0.25">
      <c r="A2119" t="s">
        <v>412</v>
      </c>
      <c r="B2119" t="s">
        <v>137</v>
      </c>
      <c r="C2119" s="2">
        <f>HYPERLINK("https://svao.dolgi.msk.ru/account/1760012279/", 1760012279)</f>
        <v>1760012279</v>
      </c>
      <c r="D2119">
        <v>137.47</v>
      </c>
    </row>
    <row r="2120" spans="1:4" x14ac:dyDescent="0.25">
      <c r="A2120" t="s">
        <v>412</v>
      </c>
      <c r="B2120" t="s">
        <v>13</v>
      </c>
      <c r="C2120" s="2">
        <f>HYPERLINK("https://svao.dolgi.msk.ru/account/1760012367/", 1760012367)</f>
        <v>1760012367</v>
      </c>
      <c r="D2120">
        <v>770.72</v>
      </c>
    </row>
    <row r="2121" spans="1:4" x14ac:dyDescent="0.25">
      <c r="A2121" t="s">
        <v>412</v>
      </c>
      <c r="B2121" t="s">
        <v>107</v>
      </c>
      <c r="C2121" s="2">
        <f>HYPERLINK("https://svao.dolgi.msk.ru/account/1760012391/", 1760012391)</f>
        <v>1760012391</v>
      </c>
      <c r="D2121">
        <v>548.53</v>
      </c>
    </row>
    <row r="2122" spans="1:4" x14ac:dyDescent="0.25">
      <c r="A2122" t="s">
        <v>412</v>
      </c>
      <c r="B2122" t="s">
        <v>15</v>
      </c>
      <c r="C2122" s="2">
        <f>HYPERLINK("https://svao.dolgi.msk.ru/account/1760012404/", 1760012404)</f>
        <v>1760012404</v>
      </c>
      <c r="D2122">
        <v>4258.26</v>
      </c>
    </row>
    <row r="2123" spans="1:4" x14ac:dyDescent="0.25">
      <c r="A2123" t="s">
        <v>412</v>
      </c>
      <c r="B2123" t="s">
        <v>108</v>
      </c>
      <c r="C2123" s="2">
        <f>HYPERLINK("https://svao.dolgi.msk.ru/account/1760012439/", 1760012439)</f>
        <v>1760012439</v>
      </c>
      <c r="D2123">
        <v>2647.32</v>
      </c>
    </row>
    <row r="2124" spans="1:4" x14ac:dyDescent="0.25">
      <c r="A2124" t="s">
        <v>412</v>
      </c>
      <c r="B2124" t="s">
        <v>16</v>
      </c>
      <c r="C2124" s="2">
        <f>HYPERLINK("https://svao.dolgi.msk.ru/account/1760012447/", 1760012447)</f>
        <v>1760012447</v>
      </c>
      <c r="D2124">
        <v>4755.74</v>
      </c>
    </row>
    <row r="2125" spans="1:4" x14ac:dyDescent="0.25">
      <c r="A2125" t="s">
        <v>412</v>
      </c>
      <c r="B2125" t="s">
        <v>18</v>
      </c>
      <c r="C2125" s="2">
        <f>HYPERLINK("https://svao.dolgi.msk.ru/account/1760012463/", 1760012463)</f>
        <v>1760012463</v>
      </c>
      <c r="D2125">
        <v>4400.46</v>
      </c>
    </row>
    <row r="2126" spans="1:4" x14ac:dyDescent="0.25">
      <c r="A2126" t="s">
        <v>412</v>
      </c>
      <c r="B2126" t="s">
        <v>19</v>
      </c>
      <c r="C2126" s="2">
        <f>HYPERLINK("https://svao.dolgi.msk.ru/account/1760012471/", 1760012471)</f>
        <v>1760012471</v>
      </c>
      <c r="D2126">
        <v>8434.2099999999991</v>
      </c>
    </row>
    <row r="2127" spans="1:4" x14ac:dyDescent="0.25">
      <c r="A2127" t="s">
        <v>412</v>
      </c>
      <c r="B2127" t="s">
        <v>109</v>
      </c>
      <c r="C2127" s="2">
        <f>HYPERLINK("https://svao.dolgi.msk.ru/account/1760012498/", 1760012498)</f>
        <v>1760012498</v>
      </c>
      <c r="D2127">
        <v>8101.64</v>
      </c>
    </row>
    <row r="2128" spans="1:4" x14ac:dyDescent="0.25">
      <c r="A2128" t="s">
        <v>412</v>
      </c>
      <c r="B2128" t="s">
        <v>94</v>
      </c>
      <c r="C2128" s="2">
        <f>HYPERLINK("https://svao.dolgi.msk.ru/account/1760012586/", 1760012586)</f>
        <v>1760012586</v>
      </c>
      <c r="D2128">
        <v>13179.38</v>
      </c>
    </row>
    <row r="2129" spans="1:4" x14ac:dyDescent="0.25">
      <c r="A2129" t="s">
        <v>412</v>
      </c>
      <c r="B2129" t="s">
        <v>113</v>
      </c>
      <c r="C2129" s="2">
        <f>HYPERLINK("https://svao.dolgi.msk.ru/account/1760012607/", 1760012607)</f>
        <v>1760012607</v>
      </c>
      <c r="D2129">
        <v>4176.1899999999996</v>
      </c>
    </row>
    <row r="2130" spans="1:4" x14ac:dyDescent="0.25">
      <c r="A2130" t="s">
        <v>412</v>
      </c>
      <c r="B2130" t="s">
        <v>114</v>
      </c>
      <c r="C2130" s="2">
        <f>HYPERLINK("https://svao.dolgi.msk.ru/account/1760012631/", 1760012631)</f>
        <v>1760012631</v>
      </c>
      <c r="D2130">
        <v>13131.2</v>
      </c>
    </row>
    <row r="2131" spans="1:4" x14ac:dyDescent="0.25">
      <c r="A2131" t="s">
        <v>412</v>
      </c>
      <c r="B2131" t="s">
        <v>22</v>
      </c>
      <c r="C2131" s="2">
        <f>HYPERLINK("https://svao.dolgi.msk.ru/account/1760012666/", 1760012666)</f>
        <v>1760012666</v>
      </c>
      <c r="D2131">
        <v>134.46</v>
      </c>
    </row>
    <row r="2132" spans="1:4" x14ac:dyDescent="0.25">
      <c r="A2132" t="s">
        <v>412</v>
      </c>
      <c r="B2132" t="s">
        <v>117</v>
      </c>
      <c r="C2132" s="2">
        <f>HYPERLINK("https://svao.dolgi.msk.ru/account/1760012711/", 1760012711)</f>
        <v>1760012711</v>
      </c>
      <c r="D2132">
        <v>154907.68</v>
      </c>
    </row>
    <row r="2133" spans="1:4" x14ac:dyDescent="0.25">
      <c r="A2133" t="s">
        <v>412</v>
      </c>
      <c r="B2133" t="s">
        <v>320</v>
      </c>
      <c r="C2133" s="2">
        <f>HYPERLINK("https://svao.dolgi.msk.ru/account/1760012746/", 1760012746)</f>
        <v>1760012746</v>
      </c>
      <c r="D2133">
        <v>6330.42</v>
      </c>
    </row>
    <row r="2134" spans="1:4" x14ac:dyDescent="0.25">
      <c r="A2134" t="s">
        <v>412</v>
      </c>
      <c r="B2134" t="s">
        <v>242</v>
      </c>
      <c r="C2134" s="2">
        <f>HYPERLINK("https://svao.dolgi.msk.ru/account/1760012789/", 1760012789)</f>
        <v>1760012789</v>
      </c>
      <c r="D2134">
        <v>3548.87</v>
      </c>
    </row>
    <row r="2135" spans="1:4" x14ac:dyDescent="0.25">
      <c r="A2135" t="s">
        <v>412</v>
      </c>
      <c r="B2135" t="s">
        <v>131</v>
      </c>
      <c r="C2135" s="2">
        <f>HYPERLINK("https://svao.dolgi.msk.ru/account/1760012818/", 1760012818)</f>
        <v>1760012818</v>
      </c>
      <c r="D2135">
        <v>1444.31</v>
      </c>
    </row>
    <row r="2136" spans="1:4" x14ac:dyDescent="0.25">
      <c r="A2136" t="s">
        <v>412</v>
      </c>
      <c r="B2136" t="s">
        <v>27</v>
      </c>
      <c r="C2136" s="2">
        <f>HYPERLINK("https://svao.dolgi.msk.ru/account/1760013036/", 1760013036)</f>
        <v>1760013036</v>
      </c>
      <c r="D2136">
        <v>21072.93</v>
      </c>
    </row>
    <row r="2137" spans="1:4" x14ac:dyDescent="0.25">
      <c r="A2137" t="s">
        <v>412</v>
      </c>
      <c r="B2137" t="s">
        <v>290</v>
      </c>
      <c r="C2137" s="2">
        <f>HYPERLINK("https://svao.dolgi.msk.ru/account/1760013044/", 1760013044)</f>
        <v>1760013044</v>
      </c>
      <c r="D2137">
        <v>7209.22</v>
      </c>
    </row>
    <row r="2138" spans="1:4" x14ac:dyDescent="0.25">
      <c r="A2138" t="s">
        <v>412</v>
      </c>
      <c r="B2138" t="s">
        <v>121</v>
      </c>
      <c r="C2138" s="2">
        <f>HYPERLINK("https://svao.dolgi.msk.ru/account/1760013079/", 1760013079)</f>
        <v>1760013079</v>
      </c>
      <c r="D2138">
        <v>5540.78</v>
      </c>
    </row>
    <row r="2139" spans="1:4" x14ac:dyDescent="0.25">
      <c r="A2139" t="s">
        <v>412</v>
      </c>
      <c r="B2139" t="s">
        <v>134</v>
      </c>
      <c r="C2139" s="2">
        <f>HYPERLINK("https://svao.dolgi.msk.ru/account/1760013087/", 1760013087)</f>
        <v>1760013087</v>
      </c>
      <c r="D2139">
        <v>4694.3500000000004</v>
      </c>
    </row>
    <row r="2140" spans="1:4" x14ac:dyDescent="0.25">
      <c r="A2140" t="s">
        <v>412</v>
      </c>
      <c r="B2140" t="s">
        <v>139</v>
      </c>
      <c r="C2140" s="2">
        <f>HYPERLINK("https://svao.dolgi.msk.ru/account/1760013095/", 1760013095)</f>
        <v>1760013095</v>
      </c>
      <c r="D2140">
        <v>108418.4</v>
      </c>
    </row>
    <row r="2141" spans="1:4" x14ac:dyDescent="0.25">
      <c r="A2141" t="s">
        <v>412</v>
      </c>
      <c r="B2141" t="s">
        <v>30</v>
      </c>
      <c r="C2141" s="2">
        <f>HYPERLINK("https://svao.dolgi.msk.ru/account/1760013159/", 1760013159)</f>
        <v>1760013159</v>
      </c>
      <c r="D2141">
        <v>288475.24</v>
      </c>
    </row>
    <row r="2142" spans="1:4" x14ac:dyDescent="0.25">
      <c r="A2142" t="s">
        <v>412</v>
      </c>
      <c r="B2142" t="s">
        <v>97</v>
      </c>
      <c r="C2142" s="2">
        <f>HYPERLINK("https://svao.dolgi.msk.ru/account/1760013167/", 1760013167)</f>
        <v>1760013167</v>
      </c>
      <c r="D2142">
        <v>2728.91</v>
      </c>
    </row>
    <row r="2143" spans="1:4" x14ac:dyDescent="0.25">
      <c r="A2143" t="s">
        <v>412</v>
      </c>
      <c r="B2143" t="s">
        <v>31</v>
      </c>
      <c r="C2143" s="2">
        <f>HYPERLINK("https://svao.dolgi.msk.ru/account/1760013183/", 1760013183)</f>
        <v>1760013183</v>
      </c>
      <c r="D2143">
        <v>10538.77</v>
      </c>
    </row>
    <row r="2144" spans="1:4" x14ac:dyDescent="0.25">
      <c r="A2144" t="s">
        <v>412</v>
      </c>
      <c r="B2144" t="s">
        <v>245</v>
      </c>
      <c r="C2144" s="2">
        <f>HYPERLINK("https://svao.dolgi.msk.ru/account/1760013212/", 1760013212)</f>
        <v>1760013212</v>
      </c>
      <c r="D2144">
        <v>659.14</v>
      </c>
    </row>
    <row r="2145" spans="1:4" x14ac:dyDescent="0.25">
      <c r="A2145" t="s">
        <v>412</v>
      </c>
      <c r="B2145" t="s">
        <v>33</v>
      </c>
      <c r="C2145" s="2">
        <f>HYPERLINK("https://svao.dolgi.msk.ru/account/1760013255/", 1760013255)</f>
        <v>1760013255</v>
      </c>
      <c r="D2145">
        <v>2931.99</v>
      </c>
    </row>
    <row r="2146" spans="1:4" x14ac:dyDescent="0.25">
      <c r="A2146" t="s">
        <v>412</v>
      </c>
      <c r="B2146" t="s">
        <v>35</v>
      </c>
      <c r="C2146" s="2">
        <f>HYPERLINK("https://svao.dolgi.msk.ru/account/1760013271/", 1760013271)</f>
        <v>1760013271</v>
      </c>
      <c r="D2146">
        <v>5251.39</v>
      </c>
    </row>
    <row r="2147" spans="1:4" x14ac:dyDescent="0.25">
      <c r="A2147" t="s">
        <v>412</v>
      </c>
      <c r="B2147" t="s">
        <v>99</v>
      </c>
      <c r="C2147" s="2">
        <f>HYPERLINK("https://svao.dolgi.msk.ru/account/1760013298/", 1760013298)</f>
        <v>1760013298</v>
      </c>
      <c r="D2147">
        <v>4360.12</v>
      </c>
    </row>
    <row r="2148" spans="1:4" x14ac:dyDescent="0.25">
      <c r="A2148" t="s">
        <v>412</v>
      </c>
      <c r="B2148" t="s">
        <v>135</v>
      </c>
      <c r="C2148" s="2">
        <f>HYPERLINK("https://svao.dolgi.msk.ru/account/1760013319/", 1760013319)</f>
        <v>1760013319</v>
      </c>
      <c r="D2148">
        <v>179.28</v>
      </c>
    </row>
    <row r="2149" spans="1:4" x14ac:dyDescent="0.25">
      <c r="A2149" t="s">
        <v>413</v>
      </c>
      <c r="B2149" t="s">
        <v>6</v>
      </c>
      <c r="C2149" s="2">
        <f>HYPERLINK("https://svao.dolgi.msk.ru/account/1760093929/", 1760093929)</f>
        <v>1760093929</v>
      </c>
      <c r="D2149">
        <v>5482.9</v>
      </c>
    </row>
    <row r="2150" spans="1:4" x14ac:dyDescent="0.25">
      <c r="A2150" t="s">
        <v>413</v>
      </c>
      <c r="B2150" t="s">
        <v>5</v>
      </c>
      <c r="C2150" s="2">
        <f>HYPERLINK("https://svao.dolgi.msk.ru/account/1760093945/", 1760093945)</f>
        <v>1760093945</v>
      </c>
      <c r="D2150">
        <v>7277.79</v>
      </c>
    </row>
    <row r="2151" spans="1:4" x14ac:dyDescent="0.25">
      <c r="A2151" t="s">
        <v>413</v>
      </c>
      <c r="B2151" t="s">
        <v>102</v>
      </c>
      <c r="C2151" s="2">
        <f>HYPERLINK("https://svao.dolgi.msk.ru/account/1760093996/", 1760093996)</f>
        <v>1760093996</v>
      </c>
      <c r="D2151">
        <v>2820.09</v>
      </c>
    </row>
    <row r="2152" spans="1:4" x14ac:dyDescent="0.25">
      <c r="A2152" t="s">
        <v>413</v>
      </c>
      <c r="B2152" t="s">
        <v>103</v>
      </c>
      <c r="C2152" s="2">
        <f>HYPERLINK("https://svao.dolgi.msk.ru/account/1760094008/", 1760094008)</f>
        <v>1760094008</v>
      </c>
      <c r="D2152">
        <v>268470.34999999998</v>
      </c>
    </row>
    <row r="2153" spans="1:4" x14ac:dyDescent="0.25">
      <c r="A2153" t="s">
        <v>413</v>
      </c>
      <c r="B2153" t="s">
        <v>73</v>
      </c>
      <c r="C2153" s="2">
        <f>HYPERLINK("https://svao.dolgi.msk.ru/account/1760094024/", 1760094024)</f>
        <v>1760094024</v>
      </c>
      <c r="D2153">
        <v>7051.43</v>
      </c>
    </row>
    <row r="2154" spans="1:4" x14ac:dyDescent="0.25">
      <c r="A2154" t="s">
        <v>413</v>
      </c>
      <c r="B2154" t="s">
        <v>74</v>
      </c>
      <c r="C2154" s="2">
        <f>HYPERLINK("https://svao.dolgi.msk.ru/account/1760094075/", 1760094075)</f>
        <v>1760094075</v>
      </c>
      <c r="D2154">
        <v>5053.8900000000003</v>
      </c>
    </row>
    <row r="2155" spans="1:4" x14ac:dyDescent="0.25">
      <c r="A2155" t="s">
        <v>413</v>
      </c>
      <c r="B2155" t="s">
        <v>75</v>
      </c>
      <c r="C2155" s="2">
        <f>HYPERLINK("https://svao.dolgi.msk.ru/account/1760094139/", 1760094139)</f>
        <v>1760094139</v>
      </c>
      <c r="D2155">
        <v>1317.34</v>
      </c>
    </row>
    <row r="2156" spans="1:4" x14ac:dyDescent="0.25">
      <c r="A2156" t="s">
        <v>413</v>
      </c>
      <c r="B2156" t="s">
        <v>91</v>
      </c>
      <c r="C2156" s="2">
        <f>HYPERLINK("https://svao.dolgi.msk.ru/account/1760094147/", 1760094147)</f>
        <v>1760094147</v>
      </c>
      <c r="D2156">
        <v>1775.45</v>
      </c>
    </row>
    <row r="2157" spans="1:4" x14ac:dyDescent="0.25">
      <c r="A2157" t="s">
        <v>413</v>
      </c>
      <c r="B2157" t="s">
        <v>10</v>
      </c>
      <c r="C2157" s="2">
        <f>HYPERLINK("https://svao.dolgi.msk.ru/account/1760094163/", 1760094163)</f>
        <v>1760094163</v>
      </c>
      <c r="D2157">
        <v>5919.05</v>
      </c>
    </row>
    <row r="2158" spans="1:4" x14ac:dyDescent="0.25">
      <c r="A2158" t="s">
        <v>413</v>
      </c>
      <c r="B2158" t="s">
        <v>14</v>
      </c>
      <c r="C2158" s="2">
        <f>HYPERLINK("https://svao.dolgi.msk.ru/account/1760094251/", 1760094251)</f>
        <v>1760094251</v>
      </c>
      <c r="D2158">
        <v>4656.18</v>
      </c>
    </row>
    <row r="2159" spans="1:4" x14ac:dyDescent="0.25">
      <c r="A2159" t="s">
        <v>413</v>
      </c>
      <c r="B2159" t="s">
        <v>109</v>
      </c>
      <c r="C2159" s="2">
        <f>HYPERLINK("https://svao.dolgi.msk.ru/account/1760094382/", 1760094382)</f>
        <v>1760094382</v>
      </c>
      <c r="D2159">
        <v>19388.53</v>
      </c>
    </row>
    <row r="2160" spans="1:4" x14ac:dyDescent="0.25">
      <c r="A2160" t="s">
        <v>413</v>
      </c>
      <c r="B2160" t="s">
        <v>20</v>
      </c>
      <c r="C2160" s="2">
        <f>HYPERLINK("https://svao.dolgi.msk.ru/account/1760094438/", 1760094438)</f>
        <v>1760094438</v>
      </c>
      <c r="D2160">
        <v>2079.62</v>
      </c>
    </row>
    <row r="2161" spans="1:4" x14ac:dyDescent="0.25">
      <c r="A2161" t="s">
        <v>413</v>
      </c>
      <c r="B2161" t="s">
        <v>111</v>
      </c>
      <c r="C2161" s="2">
        <f>HYPERLINK("https://svao.dolgi.msk.ru/account/1760094489/", 1760094489)</f>
        <v>1760094489</v>
      </c>
      <c r="D2161">
        <v>8102.36</v>
      </c>
    </row>
    <row r="2162" spans="1:4" x14ac:dyDescent="0.25">
      <c r="A2162" t="s">
        <v>413</v>
      </c>
      <c r="B2162" t="s">
        <v>114</v>
      </c>
      <c r="C2162" s="2">
        <f>HYPERLINK("https://svao.dolgi.msk.ru/account/1760094585/", 1760094585)</f>
        <v>1760094585</v>
      </c>
      <c r="D2162">
        <v>18360.830000000002</v>
      </c>
    </row>
    <row r="2163" spans="1:4" x14ac:dyDescent="0.25">
      <c r="A2163" t="s">
        <v>413</v>
      </c>
      <c r="B2163" t="s">
        <v>24</v>
      </c>
      <c r="C2163" s="2">
        <f>HYPERLINK("https://svao.dolgi.msk.ru/account/1760094737/", 1760094737)</f>
        <v>1760094737</v>
      </c>
      <c r="D2163">
        <v>7457.35</v>
      </c>
    </row>
    <row r="2164" spans="1:4" x14ac:dyDescent="0.25">
      <c r="A2164" t="s">
        <v>413</v>
      </c>
      <c r="B2164" t="s">
        <v>242</v>
      </c>
      <c r="C2164" s="2">
        <f>HYPERLINK("https://svao.dolgi.msk.ru/account/1760094753/", 1760094753)</f>
        <v>1760094753</v>
      </c>
      <c r="D2164">
        <v>7541.08</v>
      </c>
    </row>
    <row r="2165" spans="1:4" x14ac:dyDescent="0.25">
      <c r="A2165" t="s">
        <v>413</v>
      </c>
      <c r="B2165" t="s">
        <v>131</v>
      </c>
      <c r="C2165" s="2">
        <f>HYPERLINK("https://svao.dolgi.msk.ru/account/1760094788/", 1760094788)</f>
        <v>1760094788</v>
      </c>
      <c r="D2165">
        <v>467156.87</v>
      </c>
    </row>
    <row r="2166" spans="1:4" x14ac:dyDescent="0.25">
      <c r="A2166" t="s">
        <v>413</v>
      </c>
      <c r="B2166" t="s">
        <v>125</v>
      </c>
      <c r="C2166" s="2">
        <f>HYPERLINK("https://svao.dolgi.msk.ru/account/1760094796/", 1760094796)</f>
        <v>1760094796</v>
      </c>
      <c r="D2166">
        <v>10644.54</v>
      </c>
    </row>
    <row r="2167" spans="1:4" x14ac:dyDescent="0.25">
      <c r="A2167" t="s">
        <v>413</v>
      </c>
      <c r="B2167" t="s">
        <v>127</v>
      </c>
      <c r="C2167" s="2">
        <f>HYPERLINK("https://svao.dolgi.msk.ru/account/1760094868/", 1760094868)</f>
        <v>1760094868</v>
      </c>
      <c r="D2167">
        <v>578.44000000000005</v>
      </c>
    </row>
    <row r="2168" spans="1:4" x14ac:dyDescent="0.25">
      <c r="A2168" t="s">
        <v>413</v>
      </c>
      <c r="B2168" t="s">
        <v>119</v>
      </c>
      <c r="C2168" s="2">
        <f>HYPERLINK("https://svao.dolgi.msk.ru/account/1760094884/", 1760094884)</f>
        <v>1760094884</v>
      </c>
      <c r="D2168">
        <v>7204.7</v>
      </c>
    </row>
    <row r="2169" spans="1:4" x14ac:dyDescent="0.25">
      <c r="A2169" t="s">
        <v>413</v>
      </c>
      <c r="B2169" t="s">
        <v>120</v>
      </c>
      <c r="C2169" s="2">
        <f>HYPERLINK("https://svao.dolgi.msk.ru/account/1760094905/", 1760094905)</f>
        <v>1760094905</v>
      </c>
      <c r="D2169">
        <v>60356.4</v>
      </c>
    </row>
    <row r="2170" spans="1:4" x14ac:dyDescent="0.25">
      <c r="A2170" t="s">
        <v>413</v>
      </c>
      <c r="B2170" t="s">
        <v>82</v>
      </c>
      <c r="C2170" s="2">
        <f>HYPERLINK("https://svao.dolgi.msk.ru/account/1760094913/", 1760094913)</f>
        <v>1760094913</v>
      </c>
      <c r="D2170">
        <v>10521.25</v>
      </c>
    </row>
    <row r="2171" spans="1:4" x14ac:dyDescent="0.25">
      <c r="A2171" t="s">
        <v>413</v>
      </c>
      <c r="B2171" t="s">
        <v>25</v>
      </c>
      <c r="C2171" s="2">
        <f>HYPERLINK("https://svao.dolgi.msk.ru/account/1761783809/", 1761783809)</f>
        <v>1761783809</v>
      </c>
      <c r="D2171">
        <v>419</v>
      </c>
    </row>
    <row r="2172" spans="1:4" x14ac:dyDescent="0.25">
      <c r="A2172" t="s">
        <v>413</v>
      </c>
      <c r="B2172" t="s">
        <v>83</v>
      </c>
      <c r="C2172" s="2">
        <f>HYPERLINK("https://svao.dolgi.msk.ru/account/1760094964/", 1760094964)</f>
        <v>1760094964</v>
      </c>
      <c r="D2172">
        <v>32137.55</v>
      </c>
    </row>
    <row r="2173" spans="1:4" x14ac:dyDescent="0.25">
      <c r="A2173" t="s">
        <v>413</v>
      </c>
      <c r="B2173" t="s">
        <v>243</v>
      </c>
      <c r="C2173" s="2">
        <f>HYPERLINK("https://svao.dolgi.msk.ru/account/1760095051/", 1760095051)</f>
        <v>1760095051</v>
      </c>
      <c r="D2173">
        <v>1589.27</v>
      </c>
    </row>
    <row r="2174" spans="1:4" x14ac:dyDescent="0.25">
      <c r="A2174" t="s">
        <v>413</v>
      </c>
      <c r="B2174" t="s">
        <v>139</v>
      </c>
      <c r="C2174" s="2">
        <f>HYPERLINK("https://svao.dolgi.msk.ru/account/1760095094/", 1760095094)</f>
        <v>1760095094</v>
      </c>
      <c r="D2174">
        <v>3005.03</v>
      </c>
    </row>
    <row r="2175" spans="1:4" x14ac:dyDescent="0.25">
      <c r="A2175" t="s">
        <v>413</v>
      </c>
      <c r="B2175" t="s">
        <v>28</v>
      </c>
      <c r="C2175" s="2">
        <f>HYPERLINK("https://svao.dolgi.msk.ru/account/1760095107/", 1760095107)</f>
        <v>1760095107</v>
      </c>
      <c r="D2175">
        <v>4319.18</v>
      </c>
    </row>
    <row r="2176" spans="1:4" x14ac:dyDescent="0.25">
      <c r="A2176" t="s">
        <v>413</v>
      </c>
      <c r="B2176" t="s">
        <v>29</v>
      </c>
      <c r="C2176" s="2">
        <f>HYPERLINK("https://svao.dolgi.msk.ru/account/1760095115/", 1760095115)</f>
        <v>1760095115</v>
      </c>
      <c r="D2176">
        <v>146701.04</v>
      </c>
    </row>
    <row r="2177" spans="1:4" x14ac:dyDescent="0.25">
      <c r="A2177" t="s">
        <v>413</v>
      </c>
      <c r="B2177" t="s">
        <v>129</v>
      </c>
      <c r="C2177" s="2">
        <f>HYPERLINK("https://svao.dolgi.msk.ru/account/1760095131/", 1760095131)</f>
        <v>1760095131</v>
      </c>
      <c r="D2177">
        <v>3692.59</v>
      </c>
    </row>
    <row r="2178" spans="1:4" x14ac:dyDescent="0.25">
      <c r="A2178" t="s">
        <v>413</v>
      </c>
      <c r="B2178" t="s">
        <v>30</v>
      </c>
      <c r="C2178" s="2">
        <f>HYPERLINK("https://svao.dolgi.msk.ru/account/1760095158/", 1760095158)</f>
        <v>1760095158</v>
      </c>
      <c r="D2178">
        <v>5110.22</v>
      </c>
    </row>
    <row r="2179" spans="1:4" x14ac:dyDescent="0.25">
      <c r="A2179" t="s">
        <v>413</v>
      </c>
      <c r="B2179" t="s">
        <v>97</v>
      </c>
      <c r="C2179" s="2">
        <f>HYPERLINK("https://svao.dolgi.msk.ru/account/1760095166/", 1760095166)</f>
        <v>1760095166</v>
      </c>
      <c r="D2179">
        <v>7427.27</v>
      </c>
    </row>
    <row r="2180" spans="1:4" x14ac:dyDescent="0.25">
      <c r="A2180" t="s">
        <v>413</v>
      </c>
      <c r="B2180" t="s">
        <v>84</v>
      </c>
      <c r="C2180" s="2">
        <f>HYPERLINK("https://svao.dolgi.msk.ru/account/1760095174/", 1760095174)</f>
        <v>1760095174</v>
      </c>
      <c r="D2180">
        <v>69434</v>
      </c>
    </row>
    <row r="2181" spans="1:4" x14ac:dyDescent="0.25">
      <c r="A2181" t="s">
        <v>413</v>
      </c>
      <c r="B2181" t="s">
        <v>98</v>
      </c>
      <c r="C2181" s="2">
        <f>HYPERLINK("https://svao.dolgi.msk.ru/account/1760095203/", 1760095203)</f>
        <v>1760095203</v>
      </c>
      <c r="D2181">
        <v>21416.97</v>
      </c>
    </row>
    <row r="2182" spans="1:4" x14ac:dyDescent="0.25">
      <c r="A2182" t="s">
        <v>413</v>
      </c>
      <c r="B2182" t="s">
        <v>32</v>
      </c>
      <c r="C2182" s="2">
        <f>HYPERLINK("https://svao.dolgi.msk.ru/account/1760095262/", 1760095262)</f>
        <v>1760095262</v>
      </c>
      <c r="D2182">
        <v>24663.55</v>
      </c>
    </row>
    <row r="2183" spans="1:4" x14ac:dyDescent="0.25">
      <c r="A2183" t="s">
        <v>413</v>
      </c>
      <c r="B2183" t="s">
        <v>35</v>
      </c>
      <c r="C2183" s="2">
        <f>HYPERLINK("https://svao.dolgi.msk.ru/account/1760095334/", 1760095334)</f>
        <v>1760095334</v>
      </c>
      <c r="D2183">
        <v>899.53</v>
      </c>
    </row>
    <row r="2184" spans="1:4" x14ac:dyDescent="0.25">
      <c r="A2184" t="s">
        <v>413</v>
      </c>
      <c r="B2184" t="s">
        <v>86</v>
      </c>
      <c r="C2184" s="2">
        <f>HYPERLINK("https://svao.dolgi.msk.ru/account/1760095377/", 1760095377)</f>
        <v>1760095377</v>
      </c>
      <c r="D2184">
        <v>7296.77</v>
      </c>
    </row>
    <row r="2185" spans="1:4" x14ac:dyDescent="0.25">
      <c r="A2185" t="s">
        <v>413</v>
      </c>
      <c r="B2185" t="s">
        <v>140</v>
      </c>
      <c r="C2185" s="2">
        <f>HYPERLINK("https://svao.dolgi.msk.ru/account/1760095588/", 1760095588)</f>
        <v>1760095588</v>
      </c>
      <c r="D2185">
        <v>7876.61</v>
      </c>
    </row>
    <row r="2186" spans="1:4" x14ac:dyDescent="0.25">
      <c r="A2186" t="s">
        <v>413</v>
      </c>
      <c r="B2186" t="s">
        <v>89</v>
      </c>
      <c r="C2186" s="2">
        <f>HYPERLINK("https://svao.dolgi.msk.ru/account/1760095609/", 1760095609)</f>
        <v>1760095609</v>
      </c>
      <c r="D2186">
        <v>873</v>
      </c>
    </row>
    <row r="2187" spans="1:4" x14ac:dyDescent="0.25">
      <c r="A2187" t="s">
        <v>413</v>
      </c>
      <c r="B2187" t="s">
        <v>247</v>
      </c>
      <c r="C2187" s="2">
        <f>HYPERLINK("https://svao.dolgi.msk.ru/account/1760095625/", 1760095625)</f>
        <v>1760095625</v>
      </c>
      <c r="D2187">
        <v>108921.36</v>
      </c>
    </row>
    <row r="2188" spans="1:4" x14ac:dyDescent="0.25">
      <c r="A2188" t="s">
        <v>413</v>
      </c>
      <c r="B2188" t="s">
        <v>49</v>
      </c>
      <c r="C2188" s="2">
        <f>HYPERLINK("https://svao.dolgi.msk.ru/account/1760095879/", 1760095879)</f>
        <v>1760095879</v>
      </c>
      <c r="D2188">
        <v>8894.3799999999992</v>
      </c>
    </row>
    <row r="2189" spans="1:4" x14ac:dyDescent="0.25">
      <c r="A2189" t="s">
        <v>413</v>
      </c>
      <c r="B2189" t="s">
        <v>251</v>
      </c>
      <c r="C2189" s="2">
        <f>HYPERLINK("https://svao.dolgi.msk.ru/account/1760095924/", 1760095924)</f>
        <v>1760095924</v>
      </c>
      <c r="D2189">
        <v>10039.459999999999</v>
      </c>
    </row>
    <row r="2190" spans="1:4" x14ac:dyDescent="0.25">
      <c r="A2190" t="s">
        <v>413</v>
      </c>
      <c r="B2190" t="s">
        <v>306</v>
      </c>
      <c r="C2190" s="2">
        <f>HYPERLINK("https://svao.dolgi.msk.ru/account/1760095959/", 1760095959)</f>
        <v>1760095959</v>
      </c>
      <c r="D2190">
        <v>17549.060000000001</v>
      </c>
    </row>
    <row r="2191" spans="1:4" x14ac:dyDescent="0.25">
      <c r="A2191" t="s">
        <v>413</v>
      </c>
      <c r="B2191" t="s">
        <v>331</v>
      </c>
      <c r="C2191" s="2">
        <f>HYPERLINK("https://svao.dolgi.msk.ru/account/1760096003/", 1760096003)</f>
        <v>1760096003</v>
      </c>
      <c r="D2191">
        <v>4905.93</v>
      </c>
    </row>
    <row r="2192" spans="1:4" x14ac:dyDescent="0.25">
      <c r="A2192" t="s">
        <v>413</v>
      </c>
      <c r="B2192" t="s">
        <v>148</v>
      </c>
      <c r="C2192" s="2">
        <f>HYPERLINK("https://svao.dolgi.msk.ru/account/1760096046/", 1760096046)</f>
        <v>1760096046</v>
      </c>
      <c r="D2192">
        <v>3472.75</v>
      </c>
    </row>
    <row r="2193" spans="1:4" x14ac:dyDescent="0.25">
      <c r="A2193" t="s">
        <v>413</v>
      </c>
      <c r="B2193" t="s">
        <v>295</v>
      </c>
      <c r="C2193" s="2">
        <f>HYPERLINK("https://svao.dolgi.msk.ru/account/1760096054/", 1760096054)</f>
        <v>1760096054</v>
      </c>
      <c r="D2193">
        <v>8960.8799999999992</v>
      </c>
    </row>
    <row r="2194" spans="1:4" x14ac:dyDescent="0.25">
      <c r="A2194" t="s">
        <v>413</v>
      </c>
      <c r="B2194" t="s">
        <v>307</v>
      </c>
      <c r="C2194" s="2">
        <f>HYPERLINK("https://svao.dolgi.msk.ru/account/1760096118/", 1760096118)</f>
        <v>1760096118</v>
      </c>
      <c r="D2194">
        <v>29802.9</v>
      </c>
    </row>
    <row r="2195" spans="1:4" x14ac:dyDescent="0.25">
      <c r="A2195" t="s">
        <v>413</v>
      </c>
      <c r="B2195" t="s">
        <v>296</v>
      </c>
      <c r="C2195" s="2">
        <f>HYPERLINK("https://svao.dolgi.msk.ru/account/1760096142/", 1760096142)</f>
        <v>1760096142</v>
      </c>
      <c r="D2195">
        <v>807.97</v>
      </c>
    </row>
    <row r="2196" spans="1:4" x14ac:dyDescent="0.25">
      <c r="A2196" t="s">
        <v>413</v>
      </c>
      <c r="B2196" t="s">
        <v>253</v>
      </c>
      <c r="C2196" s="2">
        <f>HYPERLINK("https://svao.dolgi.msk.ru/account/1760096206/", 1760096206)</f>
        <v>1760096206</v>
      </c>
      <c r="D2196">
        <v>5164.91</v>
      </c>
    </row>
    <row r="2197" spans="1:4" x14ac:dyDescent="0.25">
      <c r="A2197" t="s">
        <v>413</v>
      </c>
      <c r="B2197" t="s">
        <v>308</v>
      </c>
      <c r="C2197" s="2">
        <f>HYPERLINK("https://svao.dolgi.msk.ru/account/1760096249/", 1760096249)</f>
        <v>1760096249</v>
      </c>
      <c r="D2197">
        <v>49633.26</v>
      </c>
    </row>
    <row r="2198" spans="1:4" x14ac:dyDescent="0.25">
      <c r="A2198" t="s">
        <v>414</v>
      </c>
      <c r="B2198" t="s">
        <v>101</v>
      </c>
      <c r="C2198" s="2">
        <f>HYPERLINK("https://svao.dolgi.msk.ru/account/1761790232/", 1761790232)</f>
        <v>1761790232</v>
      </c>
      <c r="D2198">
        <v>1361.65</v>
      </c>
    </row>
    <row r="2199" spans="1:4" x14ac:dyDescent="0.25">
      <c r="A2199" t="s">
        <v>414</v>
      </c>
      <c r="B2199" t="s">
        <v>107</v>
      </c>
      <c r="C2199" s="2">
        <f>HYPERLINK("https://svao.dolgi.msk.ru/account/1760024608/", 1760024608)</f>
        <v>1760024608</v>
      </c>
      <c r="D2199">
        <v>457.22</v>
      </c>
    </row>
    <row r="2200" spans="1:4" x14ac:dyDescent="0.25">
      <c r="A2200" t="s">
        <v>414</v>
      </c>
      <c r="B2200" t="s">
        <v>15</v>
      </c>
      <c r="C2200" s="2">
        <f>HYPERLINK("https://svao.dolgi.msk.ru/account/1760024616/", 1760024616)</f>
        <v>1760024616</v>
      </c>
      <c r="D2200">
        <v>4755.03</v>
      </c>
    </row>
    <row r="2201" spans="1:4" x14ac:dyDescent="0.25">
      <c r="A2201" t="s">
        <v>414</v>
      </c>
      <c r="B2201" t="s">
        <v>108</v>
      </c>
      <c r="C2201" s="2">
        <f>HYPERLINK("https://svao.dolgi.msk.ru/account/1760024624/", 1760024624)</f>
        <v>1760024624</v>
      </c>
      <c r="D2201">
        <v>5936.08</v>
      </c>
    </row>
    <row r="2202" spans="1:4" x14ac:dyDescent="0.25">
      <c r="A2202" t="s">
        <v>414</v>
      </c>
      <c r="B2202" t="s">
        <v>109</v>
      </c>
      <c r="C2202" s="2">
        <f>HYPERLINK("https://svao.dolgi.msk.ru/account/1760024683/", 1760024683)</f>
        <v>1760024683</v>
      </c>
      <c r="D2202">
        <v>3085.59</v>
      </c>
    </row>
    <row r="2203" spans="1:4" x14ac:dyDescent="0.25">
      <c r="A2203" t="s">
        <v>414</v>
      </c>
      <c r="B2203" t="s">
        <v>110</v>
      </c>
      <c r="C2203" s="2">
        <f>HYPERLINK("https://svao.dolgi.msk.ru/account/1760024691/", 1760024691)</f>
        <v>1760024691</v>
      </c>
      <c r="D2203">
        <v>285514.23999999999</v>
      </c>
    </row>
    <row r="2204" spans="1:4" x14ac:dyDescent="0.25">
      <c r="A2204" t="s">
        <v>414</v>
      </c>
      <c r="B2204" t="s">
        <v>92</v>
      </c>
      <c r="C2204" s="2">
        <f>HYPERLINK("https://svao.dolgi.msk.ru/account/1760024739/", 1760024739)</f>
        <v>1760024739</v>
      </c>
      <c r="D2204">
        <v>570.30999999999995</v>
      </c>
    </row>
    <row r="2205" spans="1:4" x14ac:dyDescent="0.25">
      <c r="A2205" t="s">
        <v>414</v>
      </c>
      <c r="B2205" t="s">
        <v>94</v>
      </c>
      <c r="C2205" s="2">
        <f>HYPERLINK("https://svao.dolgi.msk.ru/account/1760024763/", 1760024763)</f>
        <v>1760024763</v>
      </c>
      <c r="D2205">
        <v>4394.7700000000004</v>
      </c>
    </row>
    <row r="2206" spans="1:4" x14ac:dyDescent="0.25">
      <c r="A2206" t="s">
        <v>414</v>
      </c>
      <c r="B2206" t="s">
        <v>78</v>
      </c>
      <c r="C2206" s="2">
        <f>HYPERLINK("https://svao.dolgi.msk.ru/account/1760024843/", 1760024843)</f>
        <v>1760024843</v>
      </c>
      <c r="D2206">
        <v>7512.02</v>
      </c>
    </row>
    <row r="2207" spans="1:4" x14ac:dyDescent="0.25">
      <c r="A2207" t="s">
        <v>414</v>
      </c>
      <c r="B2207" t="s">
        <v>79</v>
      </c>
      <c r="C2207" s="2">
        <f>HYPERLINK("https://svao.dolgi.msk.ru/account/1760024878/", 1760024878)</f>
        <v>1760024878</v>
      </c>
      <c r="D2207">
        <v>4308.05</v>
      </c>
    </row>
    <row r="2208" spans="1:4" x14ac:dyDescent="0.25">
      <c r="A2208" t="s">
        <v>414</v>
      </c>
      <c r="B2208" t="s">
        <v>23</v>
      </c>
      <c r="C2208" s="2">
        <f>HYPERLINK("https://svao.dolgi.msk.ru/account/1760024886/", 1760024886)</f>
        <v>1760024886</v>
      </c>
      <c r="D2208">
        <v>3281.03</v>
      </c>
    </row>
    <row r="2209" spans="1:4" x14ac:dyDescent="0.25">
      <c r="A2209" t="s">
        <v>414</v>
      </c>
      <c r="B2209" t="s">
        <v>124</v>
      </c>
      <c r="C2209" s="2">
        <f>HYPERLINK("https://svao.dolgi.msk.ru/account/1760024894/", 1760024894)</f>
        <v>1760024894</v>
      </c>
      <c r="D2209">
        <v>10413.86</v>
      </c>
    </row>
    <row r="2210" spans="1:4" x14ac:dyDescent="0.25">
      <c r="A2210" t="s">
        <v>414</v>
      </c>
      <c r="B2210" t="s">
        <v>115</v>
      </c>
      <c r="C2210" s="2">
        <f>HYPERLINK("https://svao.dolgi.msk.ru/account/1760024915/", 1760024915)</f>
        <v>1760024915</v>
      </c>
      <c r="D2210">
        <v>788.42</v>
      </c>
    </row>
    <row r="2211" spans="1:4" x14ac:dyDescent="0.25">
      <c r="A2211" t="s">
        <v>414</v>
      </c>
      <c r="B2211" t="s">
        <v>24</v>
      </c>
      <c r="C2211" s="2">
        <f>HYPERLINK("https://svao.dolgi.msk.ru/account/1760024931/", 1760024931)</f>
        <v>1760024931</v>
      </c>
      <c r="D2211">
        <v>208.79</v>
      </c>
    </row>
    <row r="2212" spans="1:4" x14ac:dyDescent="0.25">
      <c r="A2212" t="s">
        <v>414</v>
      </c>
      <c r="B2212" t="s">
        <v>95</v>
      </c>
      <c r="C2212" s="2">
        <f>HYPERLINK("https://svao.dolgi.msk.ru/account/1760024974/", 1760024974)</f>
        <v>1760024974</v>
      </c>
      <c r="D2212">
        <v>3082.41</v>
      </c>
    </row>
    <row r="2213" spans="1:4" x14ac:dyDescent="0.25">
      <c r="A2213" t="s">
        <v>414</v>
      </c>
      <c r="B2213" t="s">
        <v>126</v>
      </c>
      <c r="C2213" s="2">
        <f>HYPERLINK("https://svao.dolgi.msk.ru/account/1760025029/", 1760025029)</f>
        <v>1760025029</v>
      </c>
      <c r="D2213">
        <v>5155.7</v>
      </c>
    </row>
    <row r="2214" spans="1:4" x14ac:dyDescent="0.25">
      <c r="A2214" t="s">
        <v>414</v>
      </c>
      <c r="B2214" t="s">
        <v>127</v>
      </c>
      <c r="C2214" s="2">
        <f>HYPERLINK("https://svao.dolgi.msk.ru/account/1760025053/", 1760025053)</f>
        <v>1760025053</v>
      </c>
      <c r="D2214">
        <v>3926.59</v>
      </c>
    </row>
    <row r="2215" spans="1:4" x14ac:dyDescent="0.25">
      <c r="A2215" t="s">
        <v>414</v>
      </c>
      <c r="B2215" t="s">
        <v>81</v>
      </c>
      <c r="C2215" s="2">
        <f>HYPERLINK("https://svao.dolgi.msk.ru/account/1760025061/", 1760025061)</f>
        <v>1760025061</v>
      </c>
      <c r="D2215">
        <v>4258.92</v>
      </c>
    </row>
    <row r="2216" spans="1:4" x14ac:dyDescent="0.25">
      <c r="A2216" t="s">
        <v>414</v>
      </c>
      <c r="B2216" t="s">
        <v>133</v>
      </c>
      <c r="C2216" s="2">
        <f>HYPERLINK("https://svao.dolgi.msk.ru/account/1760025176/", 1760025176)</f>
        <v>1760025176</v>
      </c>
      <c r="D2216">
        <v>8300.89</v>
      </c>
    </row>
    <row r="2217" spans="1:4" x14ac:dyDescent="0.25">
      <c r="A2217" t="s">
        <v>414</v>
      </c>
      <c r="B2217" t="s">
        <v>27</v>
      </c>
      <c r="C2217" s="2">
        <f>HYPERLINK("https://svao.dolgi.msk.ru/account/1760025192/", 1760025192)</f>
        <v>1760025192</v>
      </c>
      <c r="D2217">
        <v>2742.23</v>
      </c>
    </row>
    <row r="2218" spans="1:4" x14ac:dyDescent="0.25">
      <c r="A2218" t="s">
        <v>414</v>
      </c>
      <c r="B2218" t="s">
        <v>121</v>
      </c>
      <c r="C2218" s="2">
        <f>HYPERLINK("https://svao.dolgi.msk.ru/account/1760025221/", 1760025221)</f>
        <v>1760025221</v>
      </c>
      <c r="D2218">
        <v>4729.21</v>
      </c>
    </row>
    <row r="2219" spans="1:4" x14ac:dyDescent="0.25">
      <c r="A2219" t="s">
        <v>414</v>
      </c>
      <c r="B2219" t="s">
        <v>139</v>
      </c>
      <c r="C2219" s="2">
        <f>HYPERLINK("https://svao.dolgi.msk.ru/account/1760025256/", 1760025256)</f>
        <v>1760025256</v>
      </c>
      <c r="D2219">
        <v>5568.84</v>
      </c>
    </row>
    <row r="2220" spans="1:4" x14ac:dyDescent="0.25">
      <c r="A2220" t="s">
        <v>414</v>
      </c>
      <c r="B2220" t="s">
        <v>29</v>
      </c>
      <c r="C2220" s="2">
        <f>HYPERLINK("https://svao.dolgi.msk.ru/account/1760025272/", 1760025272)</f>
        <v>1760025272</v>
      </c>
      <c r="D2220">
        <v>111610.86</v>
      </c>
    </row>
    <row r="2221" spans="1:4" x14ac:dyDescent="0.25">
      <c r="A2221" t="s">
        <v>414</v>
      </c>
      <c r="B2221" t="s">
        <v>244</v>
      </c>
      <c r="C2221" s="2">
        <f>HYPERLINK("https://svao.dolgi.msk.ru/account/1760025299/", 1760025299)</f>
        <v>1760025299</v>
      </c>
      <c r="D2221">
        <v>4304.8900000000003</v>
      </c>
    </row>
    <row r="2222" spans="1:4" x14ac:dyDescent="0.25">
      <c r="A2222" t="s">
        <v>414</v>
      </c>
      <c r="B2222" t="s">
        <v>84</v>
      </c>
      <c r="C2222" s="2">
        <f>HYPERLINK("https://svao.dolgi.msk.ru/account/1760025344/", 1760025344)</f>
        <v>1760025344</v>
      </c>
      <c r="D2222">
        <v>2837.6</v>
      </c>
    </row>
    <row r="2223" spans="1:4" x14ac:dyDescent="0.25">
      <c r="A2223" t="s">
        <v>414</v>
      </c>
      <c r="B2223" t="s">
        <v>85</v>
      </c>
      <c r="C2223" s="2">
        <f>HYPERLINK("https://svao.dolgi.msk.ru/account/1760025416/", 1760025416)</f>
        <v>1760025416</v>
      </c>
      <c r="D2223">
        <v>10182.59</v>
      </c>
    </row>
    <row r="2224" spans="1:4" x14ac:dyDescent="0.25">
      <c r="A2224" t="s">
        <v>414</v>
      </c>
      <c r="B2224" t="s">
        <v>33</v>
      </c>
      <c r="C2224" s="2">
        <f>HYPERLINK("https://svao.dolgi.msk.ru/account/1760025424/", 1760025424)</f>
        <v>1760025424</v>
      </c>
      <c r="D2224">
        <v>3427.78</v>
      </c>
    </row>
    <row r="2225" spans="1:4" x14ac:dyDescent="0.25">
      <c r="A2225" t="s">
        <v>414</v>
      </c>
      <c r="B2225" t="s">
        <v>99</v>
      </c>
      <c r="C2225" s="2">
        <f>HYPERLINK("https://svao.dolgi.msk.ru/account/1760025467/", 1760025467)</f>
        <v>1760025467</v>
      </c>
      <c r="D2225">
        <v>15168.29</v>
      </c>
    </row>
    <row r="2226" spans="1:4" x14ac:dyDescent="0.25">
      <c r="A2226" t="s">
        <v>414</v>
      </c>
      <c r="B2226" t="s">
        <v>86</v>
      </c>
      <c r="C2226" s="2">
        <f>HYPERLINK("https://svao.dolgi.msk.ru/account/1760025483/", 1760025483)</f>
        <v>1760025483</v>
      </c>
      <c r="D2226">
        <v>2211.89</v>
      </c>
    </row>
    <row r="2227" spans="1:4" x14ac:dyDescent="0.25">
      <c r="A2227" t="s">
        <v>414</v>
      </c>
      <c r="B2227" t="s">
        <v>333</v>
      </c>
      <c r="C2227" s="2">
        <f>HYPERLINK("https://svao.dolgi.msk.ru/account/1760025491/", 1760025491)</f>
        <v>1760025491</v>
      </c>
      <c r="D2227">
        <v>4218.3100000000004</v>
      </c>
    </row>
    <row r="2228" spans="1:4" x14ac:dyDescent="0.25">
      <c r="A2228" t="s">
        <v>415</v>
      </c>
      <c r="B2228" t="s">
        <v>6</v>
      </c>
      <c r="C2228" s="2">
        <f>HYPERLINK("https://svao.dolgi.msk.ru/account/1760096281/", 1760096281)</f>
        <v>1760096281</v>
      </c>
      <c r="D2228">
        <v>3441.32</v>
      </c>
    </row>
    <row r="2229" spans="1:4" x14ac:dyDescent="0.25">
      <c r="A2229" t="s">
        <v>415</v>
      </c>
      <c r="B2229" t="s">
        <v>5</v>
      </c>
      <c r="C2229" s="2">
        <f>HYPERLINK("https://svao.dolgi.msk.ru/account/1760096329/", 1760096329)</f>
        <v>1760096329</v>
      </c>
      <c r="D2229">
        <v>21056.799999999999</v>
      </c>
    </row>
    <row r="2230" spans="1:4" x14ac:dyDescent="0.25">
      <c r="A2230" t="s">
        <v>415</v>
      </c>
      <c r="B2230" t="s">
        <v>101</v>
      </c>
      <c r="C2230" s="2">
        <f>HYPERLINK("https://svao.dolgi.msk.ru/account/1760096345/", 1760096345)</f>
        <v>1760096345</v>
      </c>
      <c r="D2230">
        <v>2262.33</v>
      </c>
    </row>
    <row r="2231" spans="1:4" x14ac:dyDescent="0.25">
      <c r="A2231" t="s">
        <v>415</v>
      </c>
      <c r="B2231" t="s">
        <v>103</v>
      </c>
      <c r="C2231" s="2">
        <f>HYPERLINK("https://svao.dolgi.msk.ru/account/1760096388/", 1760096388)</f>
        <v>1760096388</v>
      </c>
      <c r="D2231">
        <v>5029.3599999999997</v>
      </c>
    </row>
    <row r="2232" spans="1:4" x14ac:dyDescent="0.25">
      <c r="A2232" t="s">
        <v>415</v>
      </c>
      <c r="B2232" t="s">
        <v>73</v>
      </c>
      <c r="C2232" s="2">
        <f>HYPERLINK("https://svao.dolgi.msk.ru/account/1760096396/", 1760096396)</f>
        <v>1760096396</v>
      </c>
      <c r="D2232">
        <v>2134.65</v>
      </c>
    </row>
    <row r="2233" spans="1:4" x14ac:dyDescent="0.25">
      <c r="A2233" t="s">
        <v>415</v>
      </c>
      <c r="B2233" t="s">
        <v>104</v>
      </c>
      <c r="C2233" s="2">
        <f>HYPERLINK("https://svao.dolgi.msk.ru/account/1760096409/", 1760096409)</f>
        <v>1760096409</v>
      </c>
      <c r="D2233">
        <v>4777.8</v>
      </c>
    </row>
    <row r="2234" spans="1:4" x14ac:dyDescent="0.25">
      <c r="A2234" t="s">
        <v>415</v>
      </c>
      <c r="B2234" t="s">
        <v>8</v>
      </c>
      <c r="C2234" s="2">
        <f>HYPERLINK("https://svao.dolgi.msk.ru/account/1760096417/", 1760096417)</f>
        <v>1760096417</v>
      </c>
      <c r="D2234">
        <v>7561.51</v>
      </c>
    </row>
    <row r="2235" spans="1:4" x14ac:dyDescent="0.25">
      <c r="A2235" t="s">
        <v>415</v>
      </c>
      <c r="B2235" t="s">
        <v>74</v>
      </c>
      <c r="C2235" s="2">
        <f>HYPERLINK("https://svao.dolgi.msk.ru/account/1760096425/", 1760096425)</f>
        <v>1760096425</v>
      </c>
      <c r="D2235">
        <v>5423.95</v>
      </c>
    </row>
    <row r="2236" spans="1:4" x14ac:dyDescent="0.25">
      <c r="A2236" t="s">
        <v>415</v>
      </c>
      <c r="B2236" t="s">
        <v>12</v>
      </c>
      <c r="C2236" s="2">
        <f>HYPERLINK("https://svao.dolgi.msk.ru/account/1760096513/", 1760096513)</f>
        <v>1760096513</v>
      </c>
      <c r="D2236">
        <v>104013.75999999999</v>
      </c>
    </row>
    <row r="2237" spans="1:4" x14ac:dyDescent="0.25">
      <c r="A2237" t="s">
        <v>415</v>
      </c>
      <c r="B2237" t="s">
        <v>15</v>
      </c>
      <c r="C2237" s="2">
        <f>HYPERLINK("https://svao.dolgi.msk.ru/account/1760096572/", 1760096572)</f>
        <v>1760096572</v>
      </c>
      <c r="D2237">
        <v>2900.93</v>
      </c>
    </row>
    <row r="2238" spans="1:4" x14ac:dyDescent="0.25">
      <c r="A2238" t="s">
        <v>415</v>
      </c>
      <c r="B2238" t="s">
        <v>108</v>
      </c>
      <c r="C2238" s="2">
        <f>HYPERLINK("https://svao.dolgi.msk.ru/account/1760096599/", 1760096599)</f>
        <v>1760096599</v>
      </c>
      <c r="D2238">
        <v>5528.18</v>
      </c>
    </row>
    <row r="2239" spans="1:4" x14ac:dyDescent="0.25">
      <c r="A2239" t="s">
        <v>415</v>
      </c>
      <c r="B2239" t="s">
        <v>16</v>
      </c>
      <c r="C2239" s="2">
        <f>HYPERLINK("https://svao.dolgi.msk.ru/account/1760096601/", 1760096601)</f>
        <v>1760096601</v>
      </c>
      <c r="D2239">
        <v>5737.99</v>
      </c>
    </row>
    <row r="2240" spans="1:4" x14ac:dyDescent="0.25">
      <c r="A2240" t="s">
        <v>415</v>
      </c>
      <c r="B2240" t="s">
        <v>19</v>
      </c>
      <c r="C2240" s="2">
        <f>HYPERLINK("https://svao.dolgi.msk.ru/account/1760096644/", 1760096644)</f>
        <v>1760096644</v>
      </c>
      <c r="D2240">
        <v>4109.0600000000004</v>
      </c>
    </row>
    <row r="2241" spans="1:4" x14ac:dyDescent="0.25">
      <c r="A2241" t="s">
        <v>415</v>
      </c>
      <c r="B2241" t="s">
        <v>109</v>
      </c>
      <c r="C2241" s="2">
        <f>HYPERLINK("https://svao.dolgi.msk.ru/account/1760096652/", 1760096652)</f>
        <v>1760096652</v>
      </c>
      <c r="D2241">
        <v>15619</v>
      </c>
    </row>
    <row r="2242" spans="1:4" x14ac:dyDescent="0.25">
      <c r="A2242" t="s">
        <v>415</v>
      </c>
      <c r="B2242" t="s">
        <v>92</v>
      </c>
      <c r="C2242" s="2">
        <f>HYPERLINK("https://svao.dolgi.msk.ru/account/1760096708/", 1760096708)</f>
        <v>1760096708</v>
      </c>
      <c r="D2242">
        <v>4085.85</v>
      </c>
    </row>
    <row r="2243" spans="1:4" x14ac:dyDescent="0.25">
      <c r="A2243" t="s">
        <v>415</v>
      </c>
      <c r="B2243" t="s">
        <v>94</v>
      </c>
      <c r="C2243" s="2">
        <f>HYPERLINK("https://svao.dolgi.msk.ru/account/1760096732/", 1760096732)</f>
        <v>1760096732</v>
      </c>
      <c r="D2243">
        <v>4575.79</v>
      </c>
    </row>
    <row r="2244" spans="1:4" x14ac:dyDescent="0.25">
      <c r="A2244" t="s">
        <v>415</v>
      </c>
      <c r="B2244" t="s">
        <v>114</v>
      </c>
      <c r="C2244" s="2">
        <f>HYPERLINK("https://svao.dolgi.msk.ru/account/1760096791/", 1760096791)</f>
        <v>1760096791</v>
      </c>
      <c r="D2244">
        <v>6695.12</v>
      </c>
    </row>
    <row r="2245" spans="1:4" x14ac:dyDescent="0.25">
      <c r="A2245" t="s">
        <v>415</v>
      </c>
      <c r="B2245" t="s">
        <v>23</v>
      </c>
      <c r="C2245" s="2">
        <f>HYPERLINK("https://svao.dolgi.msk.ru/account/1760096847/", 1760096847)</f>
        <v>1760096847</v>
      </c>
      <c r="D2245">
        <v>5936.22</v>
      </c>
    </row>
    <row r="2246" spans="1:4" x14ac:dyDescent="0.25">
      <c r="A2246" t="s">
        <v>415</v>
      </c>
      <c r="B2246" t="s">
        <v>124</v>
      </c>
      <c r="C2246" s="2">
        <f>HYPERLINK("https://svao.dolgi.msk.ru/account/1760096855/", 1760096855)</f>
        <v>1760096855</v>
      </c>
      <c r="D2246">
        <v>618.28</v>
      </c>
    </row>
    <row r="2247" spans="1:4" x14ac:dyDescent="0.25">
      <c r="A2247" t="s">
        <v>415</v>
      </c>
      <c r="B2247" t="s">
        <v>242</v>
      </c>
      <c r="C2247" s="2">
        <f>HYPERLINK("https://svao.dolgi.msk.ru/account/1760096935/", 1760096935)</f>
        <v>1760096935</v>
      </c>
      <c r="D2247">
        <v>1446.52</v>
      </c>
    </row>
    <row r="2248" spans="1:4" x14ac:dyDescent="0.25">
      <c r="A2248" t="s">
        <v>415</v>
      </c>
      <c r="B2248" t="s">
        <v>95</v>
      </c>
      <c r="C2248" s="2">
        <f>HYPERLINK("https://svao.dolgi.msk.ru/account/1760096943/", 1760096943)</f>
        <v>1760096943</v>
      </c>
      <c r="D2248">
        <v>64224.83</v>
      </c>
    </row>
    <row r="2249" spans="1:4" x14ac:dyDescent="0.25">
      <c r="A2249" t="s">
        <v>415</v>
      </c>
      <c r="B2249" t="s">
        <v>126</v>
      </c>
      <c r="C2249" s="2">
        <f>HYPERLINK("https://svao.dolgi.msk.ru/account/1760096986/", 1760096986)</f>
        <v>1760096986</v>
      </c>
      <c r="D2249">
        <v>2193.21</v>
      </c>
    </row>
    <row r="2250" spans="1:4" x14ac:dyDescent="0.25">
      <c r="A2250" t="s">
        <v>415</v>
      </c>
      <c r="B2250" t="s">
        <v>82</v>
      </c>
      <c r="C2250" s="2">
        <f>HYPERLINK("https://svao.dolgi.msk.ru/account/1760097065/", 1760097065)</f>
        <v>1760097065</v>
      </c>
      <c r="D2250">
        <v>876.88</v>
      </c>
    </row>
    <row r="2251" spans="1:4" x14ac:dyDescent="0.25">
      <c r="A2251" t="s">
        <v>415</v>
      </c>
      <c r="B2251" t="s">
        <v>83</v>
      </c>
      <c r="C2251" s="2">
        <f>HYPERLINK("https://svao.dolgi.msk.ru/account/1760097102/", 1760097102)</f>
        <v>1760097102</v>
      </c>
      <c r="D2251">
        <v>3169.2</v>
      </c>
    </row>
    <row r="2252" spans="1:4" x14ac:dyDescent="0.25">
      <c r="A2252" t="s">
        <v>415</v>
      </c>
      <c r="B2252" t="s">
        <v>26</v>
      </c>
      <c r="C2252" s="2">
        <f>HYPERLINK("https://svao.dolgi.msk.ru/account/1760097137/", 1760097137)</f>
        <v>1760097137</v>
      </c>
      <c r="D2252">
        <v>5277.8</v>
      </c>
    </row>
    <row r="2253" spans="1:4" x14ac:dyDescent="0.25">
      <c r="A2253" t="s">
        <v>415</v>
      </c>
      <c r="B2253" t="s">
        <v>27</v>
      </c>
      <c r="C2253" s="2">
        <f>HYPERLINK("https://svao.dolgi.msk.ru/account/1760097161/", 1760097161)</f>
        <v>1760097161</v>
      </c>
      <c r="D2253">
        <v>4789.97</v>
      </c>
    </row>
    <row r="2254" spans="1:4" x14ac:dyDescent="0.25">
      <c r="A2254" t="s">
        <v>415</v>
      </c>
      <c r="B2254" t="s">
        <v>243</v>
      </c>
      <c r="C2254" s="2">
        <f>HYPERLINK("https://svao.dolgi.msk.ru/account/1760097196/", 1760097196)</f>
        <v>1760097196</v>
      </c>
      <c r="D2254">
        <v>11867.28</v>
      </c>
    </row>
    <row r="2255" spans="1:4" x14ac:dyDescent="0.25">
      <c r="A2255" t="s">
        <v>415</v>
      </c>
      <c r="B2255" t="s">
        <v>121</v>
      </c>
      <c r="C2255" s="2">
        <f>HYPERLINK("https://svao.dolgi.msk.ru/account/1760097209/", 1760097209)</f>
        <v>1760097209</v>
      </c>
      <c r="D2255">
        <v>19360.68</v>
      </c>
    </row>
    <row r="2256" spans="1:4" x14ac:dyDescent="0.25">
      <c r="A2256" t="s">
        <v>415</v>
      </c>
      <c r="B2256" t="s">
        <v>139</v>
      </c>
      <c r="C2256" s="2">
        <f>HYPERLINK("https://svao.dolgi.msk.ru/account/1760097225/", 1760097225)</f>
        <v>1760097225</v>
      </c>
      <c r="D2256">
        <v>22553.94</v>
      </c>
    </row>
    <row r="2257" spans="1:4" x14ac:dyDescent="0.25">
      <c r="A2257" t="s">
        <v>415</v>
      </c>
      <c r="B2257" t="s">
        <v>244</v>
      </c>
      <c r="C2257" s="2">
        <f>HYPERLINK("https://svao.dolgi.msk.ru/account/1760097268/", 1760097268)</f>
        <v>1760097268</v>
      </c>
      <c r="D2257">
        <v>3905.56</v>
      </c>
    </row>
    <row r="2258" spans="1:4" x14ac:dyDescent="0.25">
      <c r="A2258" t="s">
        <v>415</v>
      </c>
      <c r="B2258" t="s">
        <v>31</v>
      </c>
      <c r="C2258" s="2">
        <f>HYPERLINK("https://svao.dolgi.msk.ru/account/1760097313/", 1760097313)</f>
        <v>1760097313</v>
      </c>
      <c r="D2258">
        <v>8092.07</v>
      </c>
    </row>
    <row r="2259" spans="1:4" x14ac:dyDescent="0.25">
      <c r="A2259" t="s">
        <v>415</v>
      </c>
      <c r="B2259" t="s">
        <v>34</v>
      </c>
      <c r="C2259" s="2">
        <f>HYPERLINK("https://svao.dolgi.msk.ru/account/1760097401/", 1760097401)</f>
        <v>1760097401</v>
      </c>
      <c r="D2259">
        <v>5599.94</v>
      </c>
    </row>
    <row r="2260" spans="1:4" x14ac:dyDescent="0.25">
      <c r="A2260" t="s">
        <v>415</v>
      </c>
      <c r="B2260" t="s">
        <v>36</v>
      </c>
      <c r="C2260" s="2">
        <f>HYPERLINK("https://svao.dolgi.msk.ru/account/1760097495/", 1760097495)</f>
        <v>1760097495</v>
      </c>
      <c r="D2260">
        <v>2688.87</v>
      </c>
    </row>
    <row r="2261" spans="1:4" x14ac:dyDescent="0.25">
      <c r="A2261" t="s">
        <v>415</v>
      </c>
      <c r="B2261" t="s">
        <v>36</v>
      </c>
      <c r="C2261" s="2">
        <f>HYPERLINK("https://svao.dolgi.msk.ru/account/1760270323/", 1760270323)</f>
        <v>1760270323</v>
      </c>
      <c r="D2261">
        <v>36590.050000000003</v>
      </c>
    </row>
    <row r="2262" spans="1:4" x14ac:dyDescent="0.25">
      <c r="A2262" t="s">
        <v>415</v>
      </c>
      <c r="B2262" t="s">
        <v>36</v>
      </c>
      <c r="C2262" s="2">
        <f>HYPERLINK("https://svao.dolgi.msk.ru/account/1760270972/", 1760270972)</f>
        <v>1760270972</v>
      </c>
      <c r="D2262">
        <v>11145.11</v>
      </c>
    </row>
    <row r="2263" spans="1:4" x14ac:dyDescent="0.25">
      <c r="A2263" t="s">
        <v>415</v>
      </c>
      <c r="B2263" t="s">
        <v>37</v>
      </c>
      <c r="C2263" s="2">
        <f>HYPERLINK("https://svao.dolgi.msk.ru/account/1760097532/", 1760097532)</f>
        <v>1760097532</v>
      </c>
      <c r="D2263">
        <v>6560.28</v>
      </c>
    </row>
    <row r="2264" spans="1:4" x14ac:dyDescent="0.25">
      <c r="A2264" t="s">
        <v>415</v>
      </c>
      <c r="B2264" t="s">
        <v>140</v>
      </c>
      <c r="C2264" s="2">
        <f>HYPERLINK("https://svao.dolgi.msk.ru/account/1760097591/", 1760097591)</f>
        <v>1760097591</v>
      </c>
      <c r="D2264">
        <v>771.04</v>
      </c>
    </row>
    <row r="2265" spans="1:4" x14ac:dyDescent="0.25">
      <c r="A2265" t="s">
        <v>415</v>
      </c>
      <c r="B2265" t="s">
        <v>142</v>
      </c>
      <c r="C2265" s="2">
        <f>HYPERLINK("https://svao.dolgi.msk.ru/account/1760097639/", 1760097639)</f>
        <v>1760097639</v>
      </c>
      <c r="D2265">
        <v>5592.5</v>
      </c>
    </row>
    <row r="2266" spans="1:4" x14ac:dyDescent="0.25">
      <c r="A2266" t="s">
        <v>415</v>
      </c>
      <c r="B2266" t="s">
        <v>45</v>
      </c>
      <c r="C2266" s="2">
        <f>HYPERLINK("https://svao.dolgi.msk.ru/account/1760272265/", 1760272265)</f>
        <v>1760272265</v>
      </c>
      <c r="D2266">
        <v>940.53</v>
      </c>
    </row>
    <row r="2267" spans="1:4" x14ac:dyDescent="0.25">
      <c r="A2267" t="s">
        <v>415</v>
      </c>
      <c r="B2267" t="s">
        <v>144</v>
      </c>
      <c r="C2267" s="2">
        <f>HYPERLINK("https://svao.dolgi.msk.ru/account/1760097698/", 1760097698)</f>
        <v>1760097698</v>
      </c>
      <c r="D2267">
        <v>4349.51</v>
      </c>
    </row>
    <row r="2268" spans="1:4" x14ac:dyDescent="0.25">
      <c r="A2268" t="s">
        <v>415</v>
      </c>
      <c r="B2268" t="s">
        <v>145</v>
      </c>
      <c r="C2268" s="2">
        <f>HYPERLINK("https://svao.dolgi.msk.ru/account/1760097751/", 1760097751)</f>
        <v>1760097751</v>
      </c>
      <c r="D2268">
        <v>4894.59</v>
      </c>
    </row>
    <row r="2269" spans="1:4" x14ac:dyDescent="0.25">
      <c r="A2269" t="s">
        <v>415</v>
      </c>
      <c r="B2269" t="s">
        <v>339</v>
      </c>
      <c r="C2269" s="2">
        <f>HYPERLINK("https://svao.dolgi.msk.ru/account/1760097786/", 1760097786)</f>
        <v>1760097786</v>
      </c>
      <c r="D2269">
        <v>4236.87</v>
      </c>
    </row>
    <row r="2270" spans="1:4" x14ac:dyDescent="0.25">
      <c r="A2270" t="s">
        <v>415</v>
      </c>
      <c r="B2270" t="s">
        <v>147</v>
      </c>
      <c r="C2270" s="2">
        <f>HYPERLINK("https://svao.dolgi.msk.ru/account/1760097866/", 1760097866)</f>
        <v>1760097866</v>
      </c>
      <c r="D2270">
        <v>6148.02</v>
      </c>
    </row>
    <row r="2271" spans="1:4" x14ac:dyDescent="0.25">
      <c r="A2271" t="s">
        <v>415</v>
      </c>
      <c r="B2271" t="s">
        <v>306</v>
      </c>
      <c r="C2271" s="2">
        <f>HYPERLINK("https://svao.dolgi.msk.ru/account/1760097903/", 1760097903)</f>
        <v>1760097903</v>
      </c>
      <c r="D2271">
        <v>3920.19</v>
      </c>
    </row>
    <row r="2272" spans="1:4" x14ac:dyDescent="0.25">
      <c r="A2272" t="s">
        <v>415</v>
      </c>
      <c r="B2272" t="s">
        <v>50</v>
      </c>
      <c r="C2272" s="2">
        <f>HYPERLINK("https://svao.dolgi.msk.ru/account/1760097911/", 1760097911)</f>
        <v>1760097911</v>
      </c>
      <c r="D2272">
        <v>2107</v>
      </c>
    </row>
    <row r="2273" spans="1:4" x14ac:dyDescent="0.25">
      <c r="A2273" t="s">
        <v>415</v>
      </c>
      <c r="B2273" t="s">
        <v>316</v>
      </c>
      <c r="C2273" s="2">
        <f>HYPERLINK("https://svao.dolgi.msk.ru/account/1760097989/", 1760097989)</f>
        <v>1760097989</v>
      </c>
      <c r="D2273">
        <v>8024.95</v>
      </c>
    </row>
    <row r="2274" spans="1:4" x14ac:dyDescent="0.25">
      <c r="A2274" t="s">
        <v>415</v>
      </c>
      <c r="B2274" t="s">
        <v>307</v>
      </c>
      <c r="C2274" s="2">
        <f>HYPERLINK("https://svao.dolgi.msk.ru/account/1760098025/", 1760098025)</f>
        <v>1760098025</v>
      </c>
      <c r="D2274">
        <v>249686.45</v>
      </c>
    </row>
    <row r="2275" spans="1:4" x14ac:dyDescent="0.25">
      <c r="A2275" t="s">
        <v>415</v>
      </c>
      <c r="B2275" t="s">
        <v>151</v>
      </c>
      <c r="C2275" s="2">
        <f>HYPERLINK("https://svao.dolgi.msk.ru/account/1760098041/", 1760098041)</f>
        <v>1760098041</v>
      </c>
      <c r="D2275">
        <v>5237.6099999999997</v>
      </c>
    </row>
    <row r="2276" spans="1:4" x14ac:dyDescent="0.25">
      <c r="A2276" t="s">
        <v>415</v>
      </c>
      <c r="B2276" t="s">
        <v>296</v>
      </c>
      <c r="C2276" s="2">
        <f>HYPERLINK("https://svao.dolgi.msk.ru/account/1760098068/", 1760098068)</f>
        <v>1760098068</v>
      </c>
      <c r="D2276">
        <v>119205.52</v>
      </c>
    </row>
    <row r="2277" spans="1:4" x14ac:dyDescent="0.25">
      <c r="A2277" t="s">
        <v>415</v>
      </c>
      <c r="B2277" t="s">
        <v>296</v>
      </c>
      <c r="C2277" s="2">
        <f>HYPERLINK("https://svao.dolgi.msk.ru/account/1760272257/", 1760272257)</f>
        <v>1760272257</v>
      </c>
      <c r="D2277">
        <v>1288.71</v>
      </c>
    </row>
    <row r="2278" spans="1:4" x14ac:dyDescent="0.25">
      <c r="A2278" t="s">
        <v>415</v>
      </c>
      <c r="B2278" t="s">
        <v>152</v>
      </c>
      <c r="C2278" s="2">
        <f>HYPERLINK("https://svao.dolgi.msk.ru/account/1760098076/", 1760098076)</f>
        <v>1760098076</v>
      </c>
      <c r="D2278">
        <v>3122.45</v>
      </c>
    </row>
    <row r="2279" spans="1:4" x14ac:dyDescent="0.25">
      <c r="A2279" t="s">
        <v>415</v>
      </c>
      <c r="B2279" t="s">
        <v>308</v>
      </c>
      <c r="C2279" s="2">
        <f>HYPERLINK("https://svao.dolgi.msk.ru/account/1760098148/", 1760098148)</f>
        <v>1760098148</v>
      </c>
      <c r="D2279">
        <v>4308.6000000000004</v>
      </c>
    </row>
    <row r="2280" spans="1:4" x14ac:dyDescent="0.25">
      <c r="A2280" t="s">
        <v>415</v>
      </c>
      <c r="B2280" t="s">
        <v>153</v>
      </c>
      <c r="C2280" s="2">
        <f>HYPERLINK("https://svao.dolgi.msk.ru/account/1760098244/", 1760098244)</f>
        <v>1760098244</v>
      </c>
      <c r="D2280">
        <v>5268.94</v>
      </c>
    </row>
    <row r="2281" spans="1:4" x14ac:dyDescent="0.25">
      <c r="A2281" t="s">
        <v>415</v>
      </c>
      <c r="B2281" t="s">
        <v>312</v>
      </c>
      <c r="C2281" s="2">
        <f>HYPERLINK("https://svao.dolgi.msk.ru/account/1760098308/", 1760098308)</f>
        <v>1760098308</v>
      </c>
      <c r="D2281">
        <v>5070.09</v>
      </c>
    </row>
    <row r="2282" spans="1:4" x14ac:dyDescent="0.25">
      <c r="A2282" t="s">
        <v>415</v>
      </c>
      <c r="B2282" t="s">
        <v>340</v>
      </c>
      <c r="C2282" s="2">
        <f>HYPERLINK("https://svao.dolgi.msk.ru/account/1760098375/", 1760098375)</f>
        <v>1760098375</v>
      </c>
      <c r="D2282">
        <v>3429.07</v>
      </c>
    </row>
    <row r="2283" spans="1:4" x14ac:dyDescent="0.25">
      <c r="A2283" t="s">
        <v>415</v>
      </c>
      <c r="B2283" t="s">
        <v>299</v>
      </c>
      <c r="C2283" s="2">
        <f>HYPERLINK("https://svao.dolgi.msk.ru/account/1760098439/", 1760098439)</f>
        <v>1760098439</v>
      </c>
      <c r="D2283">
        <v>1702.93</v>
      </c>
    </row>
    <row r="2284" spans="1:4" x14ac:dyDescent="0.25">
      <c r="A2284" t="s">
        <v>415</v>
      </c>
      <c r="B2284" t="s">
        <v>256</v>
      </c>
      <c r="C2284" s="2">
        <f>HYPERLINK("https://svao.dolgi.msk.ru/account/1760098463/", 1760098463)</f>
        <v>1760098463</v>
      </c>
      <c r="D2284">
        <v>5273.82</v>
      </c>
    </row>
    <row r="2285" spans="1:4" x14ac:dyDescent="0.25">
      <c r="A2285" t="s">
        <v>415</v>
      </c>
      <c r="B2285" t="s">
        <v>336</v>
      </c>
      <c r="C2285" s="2">
        <f>HYPERLINK("https://svao.dolgi.msk.ru/account/1760098471/", 1760098471)</f>
        <v>1760098471</v>
      </c>
      <c r="D2285">
        <v>2521.77</v>
      </c>
    </row>
    <row r="2286" spans="1:4" x14ac:dyDescent="0.25">
      <c r="A2286" t="s">
        <v>415</v>
      </c>
      <c r="B2286" t="s">
        <v>342</v>
      </c>
      <c r="C2286" s="2">
        <f>HYPERLINK("https://svao.dolgi.msk.ru/account/1760098527/", 1760098527)</f>
        <v>1760098527</v>
      </c>
      <c r="D2286">
        <v>3722.38</v>
      </c>
    </row>
    <row r="2287" spans="1:4" x14ac:dyDescent="0.25">
      <c r="A2287" t="s">
        <v>415</v>
      </c>
      <c r="B2287" t="s">
        <v>343</v>
      </c>
      <c r="C2287" s="2">
        <f>HYPERLINK("https://svao.dolgi.msk.ru/account/1760098535/", 1760098535)</f>
        <v>1760098535</v>
      </c>
      <c r="D2287">
        <v>3939.71</v>
      </c>
    </row>
    <row r="2288" spans="1:4" x14ac:dyDescent="0.25">
      <c r="A2288" t="s">
        <v>415</v>
      </c>
      <c r="B2288" t="s">
        <v>61</v>
      </c>
      <c r="C2288" s="2">
        <f>HYPERLINK("https://svao.dolgi.msk.ru/account/1760098543/", 1760098543)</f>
        <v>1760098543</v>
      </c>
      <c r="D2288">
        <v>5078.22</v>
      </c>
    </row>
    <row r="2289" spans="1:4" x14ac:dyDescent="0.25">
      <c r="A2289" t="s">
        <v>415</v>
      </c>
      <c r="B2289" t="s">
        <v>162</v>
      </c>
      <c r="C2289" s="2">
        <f>HYPERLINK("https://svao.dolgi.msk.ru/account/1760098762/", 1760098762)</f>
        <v>1760098762</v>
      </c>
      <c r="D2289">
        <v>602.88</v>
      </c>
    </row>
    <row r="2290" spans="1:4" x14ac:dyDescent="0.25">
      <c r="A2290" t="s">
        <v>415</v>
      </c>
      <c r="B2290" t="s">
        <v>259</v>
      </c>
      <c r="C2290" s="2">
        <f>HYPERLINK("https://svao.dolgi.msk.ru/account/1760098826/", 1760098826)</f>
        <v>1760098826</v>
      </c>
      <c r="D2290">
        <v>4684.1899999999996</v>
      </c>
    </row>
    <row r="2291" spans="1:4" x14ac:dyDescent="0.25">
      <c r="A2291" t="s">
        <v>415</v>
      </c>
      <c r="B2291" t="s">
        <v>69</v>
      </c>
      <c r="C2291" s="2">
        <f>HYPERLINK("https://svao.dolgi.msk.ru/account/1760098842/", 1760098842)</f>
        <v>1760098842</v>
      </c>
      <c r="D2291">
        <v>5838.18</v>
      </c>
    </row>
    <row r="2292" spans="1:4" x14ac:dyDescent="0.25">
      <c r="A2292" t="s">
        <v>415</v>
      </c>
      <c r="B2292" t="s">
        <v>416</v>
      </c>
      <c r="C2292" s="2">
        <f>HYPERLINK("https://svao.dolgi.msk.ru/account/1760098893/", 1760098893)</f>
        <v>1760098893</v>
      </c>
      <c r="D2292">
        <v>3683.12</v>
      </c>
    </row>
    <row r="2293" spans="1:4" x14ac:dyDescent="0.25">
      <c r="A2293" t="s">
        <v>415</v>
      </c>
      <c r="B2293" t="s">
        <v>71</v>
      </c>
      <c r="C2293" s="2">
        <f>HYPERLINK("https://svao.dolgi.msk.ru/account/1760098906/", 1760098906)</f>
        <v>1760098906</v>
      </c>
      <c r="D2293">
        <v>578.22</v>
      </c>
    </row>
    <row r="2294" spans="1:4" x14ac:dyDescent="0.25">
      <c r="A2294" t="s">
        <v>415</v>
      </c>
      <c r="B2294" t="s">
        <v>165</v>
      </c>
      <c r="C2294" s="2">
        <f>HYPERLINK("https://svao.dolgi.msk.ru/account/1760098957/", 1760098957)</f>
        <v>1760098957</v>
      </c>
      <c r="D2294">
        <v>18011.060000000001</v>
      </c>
    </row>
    <row r="2295" spans="1:4" x14ac:dyDescent="0.25">
      <c r="A2295" t="s">
        <v>415</v>
      </c>
      <c r="B2295" t="s">
        <v>417</v>
      </c>
      <c r="C2295" s="2">
        <f>HYPERLINK("https://svao.dolgi.msk.ru/account/1760098981/", 1760098981)</f>
        <v>1760098981</v>
      </c>
      <c r="D2295">
        <v>50656.74</v>
      </c>
    </row>
    <row r="2296" spans="1:4" x14ac:dyDescent="0.25">
      <c r="A2296" t="s">
        <v>415</v>
      </c>
      <c r="B2296" t="s">
        <v>418</v>
      </c>
      <c r="C2296" s="2">
        <f>HYPERLINK("https://svao.dolgi.msk.ru/account/1760099028/", 1760099028)</f>
        <v>1760099028</v>
      </c>
      <c r="D2296">
        <v>7081.35</v>
      </c>
    </row>
    <row r="2297" spans="1:4" x14ac:dyDescent="0.25">
      <c r="A2297" t="s">
        <v>415</v>
      </c>
      <c r="B2297" t="s">
        <v>419</v>
      </c>
      <c r="C2297" s="2">
        <f>HYPERLINK("https://svao.dolgi.msk.ru/account/1760099052/", 1760099052)</f>
        <v>1760099052</v>
      </c>
      <c r="D2297">
        <v>25213.360000000001</v>
      </c>
    </row>
    <row r="2298" spans="1:4" x14ac:dyDescent="0.25">
      <c r="A2298" t="s">
        <v>415</v>
      </c>
      <c r="B2298" t="s">
        <v>266</v>
      </c>
      <c r="C2298" s="2">
        <f>HYPERLINK("https://svao.dolgi.msk.ru/account/1760099191/", 1760099191)</f>
        <v>1760099191</v>
      </c>
      <c r="D2298">
        <v>7809.87</v>
      </c>
    </row>
    <row r="2299" spans="1:4" x14ac:dyDescent="0.25">
      <c r="A2299" t="s">
        <v>415</v>
      </c>
      <c r="B2299" t="s">
        <v>351</v>
      </c>
      <c r="C2299" s="2">
        <f>HYPERLINK("https://svao.dolgi.msk.ru/account/1760099255/", 1760099255)</f>
        <v>1760099255</v>
      </c>
      <c r="D2299">
        <v>91606.73</v>
      </c>
    </row>
    <row r="2300" spans="1:4" x14ac:dyDescent="0.25">
      <c r="A2300" t="s">
        <v>415</v>
      </c>
      <c r="B2300" t="s">
        <v>352</v>
      </c>
      <c r="C2300" s="2">
        <f>HYPERLINK("https://svao.dolgi.msk.ru/account/1760099271/", 1760099271)</f>
        <v>1760099271</v>
      </c>
      <c r="D2300">
        <v>5480.53</v>
      </c>
    </row>
    <row r="2301" spans="1:4" x14ac:dyDescent="0.25">
      <c r="A2301" t="s">
        <v>415</v>
      </c>
      <c r="B2301" t="s">
        <v>420</v>
      </c>
      <c r="C2301" s="2">
        <f>HYPERLINK("https://svao.dolgi.msk.ru/account/1760099319/", 1760099319)</f>
        <v>1760099319</v>
      </c>
      <c r="D2301">
        <v>4181.7</v>
      </c>
    </row>
    <row r="2302" spans="1:4" x14ac:dyDescent="0.25">
      <c r="A2302" t="s">
        <v>415</v>
      </c>
      <c r="B2302" t="s">
        <v>268</v>
      </c>
      <c r="C2302" s="2">
        <f>HYPERLINK("https://svao.dolgi.msk.ru/account/1760099351/", 1760099351)</f>
        <v>1760099351</v>
      </c>
      <c r="D2302">
        <v>48479.63</v>
      </c>
    </row>
    <row r="2303" spans="1:4" x14ac:dyDescent="0.25">
      <c r="A2303" t="s">
        <v>415</v>
      </c>
      <c r="B2303" t="s">
        <v>176</v>
      </c>
      <c r="C2303" s="2">
        <f>HYPERLINK("https://svao.dolgi.msk.ru/account/1760099394/", 1760099394)</f>
        <v>1760099394</v>
      </c>
      <c r="D2303">
        <v>3095.72</v>
      </c>
    </row>
    <row r="2304" spans="1:4" x14ac:dyDescent="0.25">
      <c r="A2304" t="s">
        <v>415</v>
      </c>
      <c r="B2304" t="s">
        <v>269</v>
      </c>
      <c r="C2304" s="2">
        <f>HYPERLINK("https://svao.dolgi.msk.ru/account/1760099458/", 1760099458)</f>
        <v>1760099458</v>
      </c>
      <c r="D2304">
        <v>42460.22</v>
      </c>
    </row>
    <row r="2305" spans="1:4" x14ac:dyDescent="0.25">
      <c r="A2305" t="s">
        <v>415</v>
      </c>
      <c r="B2305" t="s">
        <v>274</v>
      </c>
      <c r="C2305" s="2">
        <f>HYPERLINK("https://svao.dolgi.msk.ru/account/1760099562/", 1760099562)</f>
        <v>1760099562</v>
      </c>
      <c r="D2305">
        <v>4225.03</v>
      </c>
    </row>
    <row r="2306" spans="1:4" x14ac:dyDescent="0.25">
      <c r="A2306" t="s">
        <v>415</v>
      </c>
      <c r="B2306" t="s">
        <v>354</v>
      </c>
      <c r="C2306" s="2">
        <f>HYPERLINK("https://svao.dolgi.msk.ru/account/1760099642/", 1760099642)</f>
        <v>1760099642</v>
      </c>
      <c r="D2306">
        <v>5589.61</v>
      </c>
    </row>
    <row r="2307" spans="1:4" x14ac:dyDescent="0.25">
      <c r="A2307" t="s">
        <v>415</v>
      </c>
      <c r="B2307" t="s">
        <v>355</v>
      </c>
      <c r="C2307" s="2">
        <f>HYPERLINK("https://svao.dolgi.msk.ru/account/1760099677/", 1760099677)</f>
        <v>1760099677</v>
      </c>
      <c r="D2307">
        <v>3240.44</v>
      </c>
    </row>
    <row r="2308" spans="1:4" x14ac:dyDescent="0.25">
      <c r="A2308" t="s">
        <v>415</v>
      </c>
      <c r="B2308" t="s">
        <v>356</v>
      </c>
      <c r="C2308" s="2">
        <f>HYPERLINK("https://svao.dolgi.msk.ru/account/1760099685/", 1760099685)</f>
        <v>1760099685</v>
      </c>
      <c r="D2308">
        <v>148975.85</v>
      </c>
    </row>
    <row r="2309" spans="1:4" x14ac:dyDescent="0.25">
      <c r="A2309" t="s">
        <v>415</v>
      </c>
      <c r="B2309" t="s">
        <v>421</v>
      </c>
      <c r="C2309" s="2">
        <f>HYPERLINK("https://svao.dolgi.msk.ru/account/1760099693/", 1760099693)</f>
        <v>1760099693</v>
      </c>
      <c r="D2309">
        <v>5056.82</v>
      </c>
    </row>
    <row r="2310" spans="1:4" x14ac:dyDescent="0.25">
      <c r="A2310" t="s">
        <v>415</v>
      </c>
      <c r="B2310" t="s">
        <v>422</v>
      </c>
      <c r="C2310" s="2">
        <f>HYPERLINK("https://svao.dolgi.msk.ru/account/1760099706/", 1760099706)</f>
        <v>1760099706</v>
      </c>
      <c r="D2310">
        <v>4615.3599999999997</v>
      </c>
    </row>
    <row r="2311" spans="1:4" x14ac:dyDescent="0.25">
      <c r="A2311" t="s">
        <v>415</v>
      </c>
      <c r="B2311" t="s">
        <v>183</v>
      </c>
      <c r="C2311" s="2">
        <f>HYPERLINK("https://svao.dolgi.msk.ru/account/1760099765/", 1760099765)</f>
        <v>1760099765</v>
      </c>
      <c r="D2311">
        <v>6772.3</v>
      </c>
    </row>
    <row r="2312" spans="1:4" x14ac:dyDescent="0.25">
      <c r="A2312" t="s">
        <v>423</v>
      </c>
      <c r="B2312" t="s">
        <v>41</v>
      </c>
      <c r="C2312" s="2">
        <f>HYPERLINK("https://svao.dolgi.msk.ru/account/1760108561/", 1760108561)</f>
        <v>1760108561</v>
      </c>
      <c r="D2312">
        <v>6648.86</v>
      </c>
    </row>
    <row r="2313" spans="1:4" x14ac:dyDescent="0.25">
      <c r="A2313" t="s">
        <v>423</v>
      </c>
      <c r="B2313" t="s">
        <v>101</v>
      </c>
      <c r="C2313" s="2">
        <f>HYPERLINK("https://svao.dolgi.msk.ru/account/1760108609/", 1760108609)</f>
        <v>1760108609</v>
      </c>
      <c r="D2313">
        <v>151938.78</v>
      </c>
    </row>
    <row r="2314" spans="1:4" x14ac:dyDescent="0.25">
      <c r="A2314" t="s">
        <v>423</v>
      </c>
      <c r="B2314" t="s">
        <v>104</v>
      </c>
      <c r="C2314" s="2">
        <f>HYPERLINK("https://svao.dolgi.msk.ru/account/1760108668/", 1760108668)</f>
        <v>1760108668</v>
      </c>
      <c r="D2314">
        <v>3948.92</v>
      </c>
    </row>
    <row r="2315" spans="1:4" x14ac:dyDescent="0.25">
      <c r="A2315" t="s">
        <v>423</v>
      </c>
      <c r="B2315" t="s">
        <v>75</v>
      </c>
      <c r="C2315" s="2">
        <f>HYPERLINK("https://svao.dolgi.msk.ru/account/1760108713/", 1760108713)</f>
        <v>1760108713</v>
      </c>
      <c r="D2315">
        <v>3534.33</v>
      </c>
    </row>
    <row r="2316" spans="1:4" x14ac:dyDescent="0.25">
      <c r="A2316" t="s">
        <v>423</v>
      </c>
      <c r="B2316" t="s">
        <v>91</v>
      </c>
      <c r="C2316" s="2">
        <f>HYPERLINK("https://svao.dolgi.msk.ru/account/1760108721/", 1760108721)</f>
        <v>1760108721</v>
      </c>
      <c r="D2316">
        <v>10516.24</v>
      </c>
    </row>
    <row r="2317" spans="1:4" x14ac:dyDescent="0.25">
      <c r="A2317" t="s">
        <v>423</v>
      </c>
      <c r="B2317" t="s">
        <v>106</v>
      </c>
      <c r="C2317" s="2">
        <f>HYPERLINK("https://svao.dolgi.msk.ru/account/1760108828/", 1760108828)</f>
        <v>1760108828</v>
      </c>
      <c r="D2317">
        <v>4957.88</v>
      </c>
    </row>
    <row r="2318" spans="1:4" x14ac:dyDescent="0.25">
      <c r="A2318" t="s">
        <v>423</v>
      </c>
      <c r="B2318" t="s">
        <v>107</v>
      </c>
      <c r="C2318" s="2">
        <f>HYPERLINK("https://svao.dolgi.msk.ru/account/1760108836/", 1760108836)</f>
        <v>1760108836</v>
      </c>
      <c r="D2318">
        <v>6339.15</v>
      </c>
    </row>
    <row r="2319" spans="1:4" x14ac:dyDescent="0.25">
      <c r="A2319" t="s">
        <v>423</v>
      </c>
      <c r="B2319" t="s">
        <v>16</v>
      </c>
      <c r="C2319" s="2">
        <f>HYPERLINK("https://svao.dolgi.msk.ru/account/1760108879/", 1760108879)</f>
        <v>1760108879</v>
      </c>
      <c r="D2319">
        <v>3399.8</v>
      </c>
    </row>
    <row r="2320" spans="1:4" x14ac:dyDescent="0.25">
      <c r="A2320" t="s">
        <v>423</v>
      </c>
      <c r="B2320" t="s">
        <v>20</v>
      </c>
      <c r="C2320" s="2">
        <f>HYPERLINK("https://svao.dolgi.msk.ru/account/1760108932/", 1760108932)</f>
        <v>1760108932</v>
      </c>
      <c r="D2320">
        <v>26513.65</v>
      </c>
    </row>
    <row r="2321" spans="1:4" x14ac:dyDescent="0.25">
      <c r="A2321" t="s">
        <v>423</v>
      </c>
      <c r="B2321" t="s">
        <v>93</v>
      </c>
      <c r="C2321" s="2">
        <f>HYPERLINK("https://svao.dolgi.msk.ru/account/1760108975/", 1760108975)</f>
        <v>1760108975</v>
      </c>
      <c r="D2321">
        <v>1594.3</v>
      </c>
    </row>
    <row r="2322" spans="1:4" x14ac:dyDescent="0.25">
      <c r="A2322" t="s">
        <v>423</v>
      </c>
      <c r="B2322" t="s">
        <v>111</v>
      </c>
      <c r="C2322" s="2">
        <f>HYPERLINK("https://svao.dolgi.msk.ru/account/1760108983/", 1760108983)</f>
        <v>1760108983</v>
      </c>
      <c r="D2322">
        <v>7525.28</v>
      </c>
    </row>
    <row r="2323" spans="1:4" x14ac:dyDescent="0.25">
      <c r="A2323" t="s">
        <v>423</v>
      </c>
      <c r="B2323" t="s">
        <v>94</v>
      </c>
      <c r="C2323" s="2">
        <f>HYPERLINK("https://svao.dolgi.msk.ru/account/1760108991/", 1760108991)</f>
        <v>1760108991</v>
      </c>
      <c r="D2323">
        <v>5773.89</v>
      </c>
    </row>
    <row r="2324" spans="1:4" x14ac:dyDescent="0.25">
      <c r="A2324" t="s">
        <v>423</v>
      </c>
      <c r="B2324" t="s">
        <v>113</v>
      </c>
      <c r="C2324" s="2">
        <f>HYPERLINK("https://svao.dolgi.msk.ru/account/1760109011/", 1760109011)</f>
        <v>1760109011</v>
      </c>
      <c r="D2324">
        <v>4355.1499999999996</v>
      </c>
    </row>
    <row r="2325" spans="1:4" x14ac:dyDescent="0.25">
      <c r="A2325" t="s">
        <v>423</v>
      </c>
      <c r="B2325" t="s">
        <v>124</v>
      </c>
      <c r="C2325" s="2">
        <f>HYPERLINK("https://svao.dolgi.msk.ru/account/1760109126/", 1760109126)</f>
        <v>1760109126</v>
      </c>
      <c r="D2325">
        <v>4383.82</v>
      </c>
    </row>
    <row r="2326" spans="1:4" x14ac:dyDescent="0.25">
      <c r="A2326" t="s">
        <v>423</v>
      </c>
      <c r="B2326" t="s">
        <v>95</v>
      </c>
      <c r="C2326" s="2">
        <f>HYPERLINK("https://svao.dolgi.msk.ru/account/1760109206/", 1760109206)</f>
        <v>1760109206</v>
      </c>
      <c r="D2326">
        <v>3355.57</v>
      </c>
    </row>
    <row r="2327" spans="1:4" x14ac:dyDescent="0.25">
      <c r="A2327" t="s">
        <v>423</v>
      </c>
      <c r="B2327" t="s">
        <v>81</v>
      </c>
      <c r="C2327" s="2">
        <f>HYPERLINK("https://svao.dolgi.msk.ru/account/1760109281/", 1760109281)</f>
        <v>1760109281</v>
      </c>
      <c r="D2327">
        <v>352.26</v>
      </c>
    </row>
    <row r="2328" spans="1:4" x14ac:dyDescent="0.25">
      <c r="A2328" t="s">
        <v>423</v>
      </c>
      <c r="B2328" t="s">
        <v>120</v>
      </c>
      <c r="C2328" s="2">
        <f>HYPERLINK("https://svao.dolgi.msk.ru/account/1760109329/", 1760109329)</f>
        <v>1760109329</v>
      </c>
      <c r="D2328">
        <v>5785.44</v>
      </c>
    </row>
    <row r="2329" spans="1:4" x14ac:dyDescent="0.25">
      <c r="A2329" t="s">
        <v>423</v>
      </c>
      <c r="B2329" t="s">
        <v>26</v>
      </c>
      <c r="C2329" s="2">
        <f>HYPERLINK("https://svao.dolgi.msk.ru/account/1760109396/", 1760109396)</f>
        <v>1760109396</v>
      </c>
      <c r="D2329">
        <v>42261.29</v>
      </c>
    </row>
    <row r="2330" spans="1:4" x14ac:dyDescent="0.25">
      <c r="A2330" t="s">
        <v>423</v>
      </c>
      <c r="B2330" t="s">
        <v>28</v>
      </c>
      <c r="C2330" s="2">
        <f>HYPERLINK("https://svao.dolgi.msk.ru/account/1760109492/", 1760109492)</f>
        <v>1760109492</v>
      </c>
      <c r="D2330">
        <v>3572.84</v>
      </c>
    </row>
    <row r="2331" spans="1:4" x14ac:dyDescent="0.25">
      <c r="A2331" t="s">
        <v>423</v>
      </c>
      <c r="B2331" t="s">
        <v>244</v>
      </c>
      <c r="C2331" s="2">
        <f>HYPERLINK("https://svao.dolgi.msk.ru/account/1760109521/", 1760109521)</f>
        <v>1760109521</v>
      </c>
      <c r="D2331">
        <v>7350.92</v>
      </c>
    </row>
    <row r="2332" spans="1:4" x14ac:dyDescent="0.25">
      <c r="A2332" t="s">
        <v>423</v>
      </c>
      <c r="B2332" t="s">
        <v>30</v>
      </c>
      <c r="C2332" s="2">
        <f>HYPERLINK("https://svao.dolgi.msk.ru/account/1760109556/", 1760109556)</f>
        <v>1760109556</v>
      </c>
      <c r="D2332">
        <v>2829.62</v>
      </c>
    </row>
    <row r="2333" spans="1:4" x14ac:dyDescent="0.25">
      <c r="A2333" t="s">
        <v>423</v>
      </c>
      <c r="B2333" t="s">
        <v>98</v>
      </c>
      <c r="C2333" s="2">
        <f>HYPERLINK("https://svao.dolgi.msk.ru/account/1760109601/", 1760109601)</f>
        <v>1760109601</v>
      </c>
      <c r="D2333">
        <v>55750.03</v>
      </c>
    </row>
    <row r="2334" spans="1:4" x14ac:dyDescent="0.25">
      <c r="A2334" t="s">
        <v>423</v>
      </c>
      <c r="B2334" t="s">
        <v>291</v>
      </c>
      <c r="C2334" s="2">
        <f>HYPERLINK("https://svao.dolgi.msk.ru/account/1760109628/", 1760109628)</f>
        <v>1760109628</v>
      </c>
      <c r="D2334">
        <v>2433.08</v>
      </c>
    </row>
    <row r="2335" spans="1:4" x14ac:dyDescent="0.25">
      <c r="A2335" t="s">
        <v>423</v>
      </c>
      <c r="B2335" t="s">
        <v>245</v>
      </c>
      <c r="C2335" s="2">
        <f>HYPERLINK("https://svao.dolgi.msk.ru/account/1760109636/", 1760109636)</f>
        <v>1760109636</v>
      </c>
      <c r="D2335">
        <v>6490.47</v>
      </c>
    </row>
    <row r="2336" spans="1:4" x14ac:dyDescent="0.25">
      <c r="A2336" t="s">
        <v>423</v>
      </c>
      <c r="B2336" t="s">
        <v>34</v>
      </c>
      <c r="C2336" s="2">
        <f>HYPERLINK("https://svao.dolgi.msk.ru/account/1760109687/", 1760109687)</f>
        <v>1760109687</v>
      </c>
      <c r="D2336">
        <v>7434.77</v>
      </c>
    </row>
    <row r="2337" spans="1:4" x14ac:dyDescent="0.25">
      <c r="A2337" t="s">
        <v>424</v>
      </c>
      <c r="B2337" t="s">
        <v>41</v>
      </c>
      <c r="C2337" s="2">
        <f>HYPERLINK("https://svao.dolgi.msk.ru/account/1760107331/", 1760107331)</f>
        <v>1760107331</v>
      </c>
      <c r="D2337">
        <v>29641.55</v>
      </c>
    </row>
    <row r="2338" spans="1:4" x14ac:dyDescent="0.25">
      <c r="A2338" t="s">
        <v>424</v>
      </c>
      <c r="B2338" t="s">
        <v>5</v>
      </c>
      <c r="C2338" s="2">
        <f>HYPERLINK("https://svao.dolgi.msk.ru/account/1760107358/", 1760107358)</f>
        <v>1760107358</v>
      </c>
      <c r="D2338">
        <v>6223.4</v>
      </c>
    </row>
    <row r="2339" spans="1:4" x14ac:dyDescent="0.25">
      <c r="A2339" t="s">
        <v>424</v>
      </c>
      <c r="B2339" t="s">
        <v>137</v>
      </c>
      <c r="C2339" s="2">
        <f>HYPERLINK("https://svao.dolgi.msk.ru/account/1760107489/", 1760107489)</f>
        <v>1760107489</v>
      </c>
      <c r="D2339">
        <v>3293.33</v>
      </c>
    </row>
    <row r="2340" spans="1:4" x14ac:dyDescent="0.25">
      <c r="A2340" t="s">
        <v>424</v>
      </c>
      <c r="B2340" t="s">
        <v>12</v>
      </c>
      <c r="C2340" s="2">
        <f>HYPERLINK("https://svao.dolgi.msk.ru/account/1760107577/", 1760107577)</f>
        <v>1760107577</v>
      </c>
      <c r="D2340">
        <v>2063.5300000000002</v>
      </c>
    </row>
    <row r="2341" spans="1:4" x14ac:dyDescent="0.25">
      <c r="A2341" t="s">
        <v>424</v>
      </c>
      <c r="B2341" t="s">
        <v>108</v>
      </c>
      <c r="C2341" s="2">
        <f>HYPERLINK("https://svao.dolgi.msk.ru/account/1760107649/", 1760107649)</f>
        <v>1760107649</v>
      </c>
      <c r="D2341">
        <v>1335.23</v>
      </c>
    </row>
    <row r="2342" spans="1:4" x14ac:dyDescent="0.25">
      <c r="A2342" t="s">
        <v>424</v>
      </c>
      <c r="B2342" t="s">
        <v>110</v>
      </c>
      <c r="C2342" s="2">
        <f>HYPERLINK("https://svao.dolgi.msk.ru/account/1760107729/", 1760107729)</f>
        <v>1760107729</v>
      </c>
      <c r="D2342">
        <v>3376.86</v>
      </c>
    </row>
    <row r="2343" spans="1:4" x14ac:dyDescent="0.25">
      <c r="A2343" t="s">
        <v>424</v>
      </c>
      <c r="B2343" t="s">
        <v>113</v>
      </c>
      <c r="C2343" s="2">
        <f>HYPERLINK("https://svao.dolgi.msk.ru/account/1760107817/", 1760107817)</f>
        <v>1760107817</v>
      </c>
      <c r="D2343">
        <v>5019.58</v>
      </c>
    </row>
    <row r="2344" spans="1:4" x14ac:dyDescent="0.25">
      <c r="A2344" t="s">
        <v>424</v>
      </c>
      <c r="B2344" t="s">
        <v>114</v>
      </c>
      <c r="C2344" s="2">
        <f>HYPERLINK("https://svao.dolgi.msk.ru/account/1760107841/", 1760107841)</f>
        <v>1760107841</v>
      </c>
      <c r="D2344">
        <v>22574.92</v>
      </c>
    </row>
    <row r="2345" spans="1:4" x14ac:dyDescent="0.25">
      <c r="A2345" t="s">
        <v>424</v>
      </c>
      <c r="B2345" t="s">
        <v>22</v>
      </c>
      <c r="C2345" s="2">
        <f>HYPERLINK("https://svao.dolgi.msk.ru/account/1760107876/", 1760107876)</f>
        <v>1760107876</v>
      </c>
      <c r="D2345">
        <v>4616.3900000000003</v>
      </c>
    </row>
    <row r="2346" spans="1:4" x14ac:dyDescent="0.25">
      <c r="A2346" t="s">
        <v>424</v>
      </c>
      <c r="B2346" t="s">
        <v>81</v>
      </c>
      <c r="C2346" s="2">
        <f>HYPERLINK("https://svao.dolgi.msk.ru/account/1760108086/", 1760108086)</f>
        <v>1760108086</v>
      </c>
      <c r="D2346">
        <v>3275.51</v>
      </c>
    </row>
    <row r="2347" spans="1:4" x14ac:dyDescent="0.25">
      <c r="A2347" t="s">
        <v>424</v>
      </c>
      <c r="B2347" t="s">
        <v>139</v>
      </c>
      <c r="C2347" s="2">
        <f>HYPERLINK("https://svao.dolgi.msk.ru/account/1760108297/", 1760108297)</f>
        <v>1760108297</v>
      </c>
      <c r="D2347">
        <v>1827.06</v>
      </c>
    </row>
    <row r="2348" spans="1:4" x14ac:dyDescent="0.25">
      <c r="A2348" t="s">
        <v>424</v>
      </c>
      <c r="B2348" t="s">
        <v>29</v>
      </c>
      <c r="C2348" s="2">
        <f>HYPERLINK("https://svao.dolgi.msk.ru/account/1760108326/", 1760108326)</f>
        <v>1760108326</v>
      </c>
      <c r="D2348">
        <v>3595.2</v>
      </c>
    </row>
    <row r="2349" spans="1:4" x14ac:dyDescent="0.25">
      <c r="A2349" t="s">
        <v>424</v>
      </c>
      <c r="B2349" t="s">
        <v>31</v>
      </c>
      <c r="C2349" s="2">
        <f>HYPERLINK("https://svao.dolgi.msk.ru/account/1760108393/", 1760108393)</f>
        <v>1760108393</v>
      </c>
      <c r="D2349">
        <v>5780.96</v>
      </c>
    </row>
    <row r="2350" spans="1:4" x14ac:dyDescent="0.25">
      <c r="A2350" t="s">
        <v>424</v>
      </c>
      <c r="B2350" t="s">
        <v>32</v>
      </c>
      <c r="C2350" s="2">
        <f>HYPERLINK("https://svao.dolgi.msk.ru/account/1760108449/", 1760108449)</f>
        <v>1760108449</v>
      </c>
      <c r="D2350">
        <v>3858.06</v>
      </c>
    </row>
    <row r="2351" spans="1:4" x14ac:dyDescent="0.25">
      <c r="A2351" t="s">
        <v>424</v>
      </c>
      <c r="B2351" t="s">
        <v>34</v>
      </c>
      <c r="C2351" s="2">
        <f>HYPERLINK("https://svao.dolgi.msk.ru/account/1760108473/", 1760108473)</f>
        <v>1760108473</v>
      </c>
      <c r="D2351">
        <v>3232.47</v>
      </c>
    </row>
    <row r="2352" spans="1:4" x14ac:dyDescent="0.25">
      <c r="A2352" t="s">
        <v>424</v>
      </c>
      <c r="B2352" t="s">
        <v>35</v>
      </c>
      <c r="C2352" s="2">
        <f>HYPERLINK("https://svao.dolgi.msk.ru/account/1760108481/", 1760108481)</f>
        <v>1760108481</v>
      </c>
      <c r="D2352">
        <v>2930.39</v>
      </c>
    </row>
    <row r="2353" spans="1:4" x14ac:dyDescent="0.25">
      <c r="A2353" t="s">
        <v>424</v>
      </c>
      <c r="B2353" t="s">
        <v>86</v>
      </c>
      <c r="C2353" s="2">
        <f>HYPERLINK("https://svao.dolgi.msk.ru/account/1760108537/", 1760108537)</f>
        <v>1760108537</v>
      </c>
      <c r="D2353">
        <v>431.7</v>
      </c>
    </row>
    <row r="2354" spans="1:4" x14ac:dyDescent="0.25">
      <c r="A2354" t="s">
        <v>425</v>
      </c>
      <c r="B2354" t="s">
        <v>141</v>
      </c>
      <c r="C2354" s="2">
        <f>HYPERLINK("https://svao.dolgi.msk.ru/account/1760067157/", 1760067157)</f>
        <v>1760067157</v>
      </c>
      <c r="D2354">
        <v>5705.12</v>
      </c>
    </row>
    <row r="2355" spans="1:4" x14ac:dyDescent="0.25">
      <c r="A2355" t="s">
        <v>425</v>
      </c>
      <c r="B2355" t="s">
        <v>104</v>
      </c>
      <c r="C2355" s="2">
        <f>HYPERLINK("https://svao.dolgi.msk.ru/account/1760067202/", 1760067202)</f>
        <v>1760067202</v>
      </c>
      <c r="D2355">
        <v>80716.33</v>
      </c>
    </row>
    <row r="2356" spans="1:4" x14ac:dyDescent="0.25">
      <c r="A2356" t="s">
        <v>425</v>
      </c>
      <c r="B2356" t="s">
        <v>137</v>
      </c>
      <c r="C2356" s="2">
        <f>HYPERLINK("https://svao.dolgi.msk.ru/account/1760067253/", 1760067253)</f>
        <v>1760067253</v>
      </c>
      <c r="D2356">
        <v>91953.94</v>
      </c>
    </row>
    <row r="2357" spans="1:4" x14ac:dyDescent="0.25">
      <c r="A2357" t="s">
        <v>425</v>
      </c>
      <c r="B2357" t="s">
        <v>75</v>
      </c>
      <c r="C2357" s="2">
        <f>HYPERLINK("https://svao.dolgi.msk.ru/account/1760067288/", 1760067288)</f>
        <v>1760067288</v>
      </c>
      <c r="D2357">
        <v>4764.9799999999996</v>
      </c>
    </row>
    <row r="2358" spans="1:4" x14ac:dyDescent="0.25">
      <c r="A2358" t="s">
        <v>425</v>
      </c>
      <c r="B2358" t="s">
        <v>14</v>
      </c>
      <c r="C2358" s="2">
        <f>HYPERLINK("https://svao.dolgi.msk.ru/account/1760067368/", 1760067368)</f>
        <v>1760067368</v>
      </c>
      <c r="D2358">
        <v>71667.899999999994</v>
      </c>
    </row>
    <row r="2359" spans="1:4" x14ac:dyDescent="0.25">
      <c r="A2359" t="s">
        <v>425</v>
      </c>
      <c r="B2359" t="s">
        <v>106</v>
      </c>
      <c r="C2359" s="2">
        <f>HYPERLINK("https://svao.dolgi.msk.ru/account/1760067376/", 1760067376)</f>
        <v>1760067376</v>
      </c>
      <c r="D2359">
        <v>3119.14</v>
      </c>
    </row>
    <row r="2360" spans="1:4" x14ac:dyDescent="0.25">
      <c r="A2360" t="s">
        <v>425</v>
      </c>
      <c r="B2360" t="s">
        <v>111</v>
      </c>
      <c r="C2360" s="2">
        <f>HYPERLINK("https://svao.dolgi.msk.ru/account/1760067544/", 1760067544)</f>
        <v>1760067544</v>
      </c>
      <c r="D2360">
        <v>8377.09</v>
      </c>
    </row>
    <row r="2361" spans="1:4" x14ac:dyDescent="0.25">
      <c r="A2361" t="s">
        <v>425</v>
      </c>
      <c r="B2361" t="s">
        <v>21</v>
      </c>
      <c r="C2361" s="2">
        <f>HYPERLINK("https://svao.dolgi.msk.ru/account/1760067595/", 1760067595)</f>
        <v>1760067595</v>
      </c>
      <c r="D2361">
        <v>9180.17</v>
      </c>
    </row>
    <row r="2362" spans="1:4" x14ac:dyDescent="0.25">
      <c r="A2362" t="s">
        <v>425</v>
      </c>
      <c r="B2362" t="s">
        <v>78</v>
      </c>
      <c r="C2362" s="2">
        <f>HYPERLINK("https://svao.dolgi.msk.ru/account/1760067624/", 1760067624)</f>
        <v>1760067624</v>
      </c>
      <c r="D2362">
        <v>29868.35</v>
      </c>
    </row>
    <row r="2363" spans="1:4" x14ac:dyDescent="0.25">
      <c r="A2363" t="s">
        <v>425</v>
      </c>
      <c r="B2363" t="s">
        <v>79</v>
      </c>
      <c r="C2363" s="2">
        <f>HYPERLINK("https://svao.dolgi.msk.ru/account/1760067659/", 1760067659)</f>
        <v>1760067659</v>
      </c>
      <c r="D2363">
        <v>4820.5600000000004</v>
      </c>
    </row>
    <row r="2364" spans="1:4" x14ac:dyDescent="0.25">
      <c r="A2364" t="s">
        <v>425</v>
      </c>
      <c r="B2364" t="s">
        <v>126</v>
      </c>
      <c r="C2364" s="2">
        <f>HYPERLINK("https://svao.dolgi.msk.ru/account/1760067835/", 1760067835)</f>
        <v>1760067835</v>
      </c>
      <c r="D2364">
        <v>3884.15</v>
      </c>
    </row>
    <row r="2365" spans="1:4" x14ac:dyDescent="0.25">
      <c r="A2365" t="s">
        <v>425</v>
      </c>
      <c r="B2365" t="s">
        <v>126</v>
      </c>
      <c r="C2365" s="2">
        <f>HYPERLINK("https://svao.dolgi.msk.ru/account/1761793484/", 1761793484)</f>
        <v>1761793484</v>
      </c>
      <c r="D2365">
        <v>5499.23</v>
      </c>
    </row>
    <row r="2366" spans="1:4" x14ac:dyDescent="0.25">
      <c r="A2366" t="s">
        <v>425</v>
      </c>
      <c r="B2366" t="s">
        <v>83</v>
      </c>
      <c r="C2366" s="2">
        <f>HYPERLINK("https://svao.dolgi.msk.ru/account/1760067974/", 1760067974)</f>
        <v>1760067974</v>
      </c>
      <c r="D2366">
        <v>1863.11</v>
      </c>
    </row>
    <row r="2367" spans="1:4" x14ac:dyDescent="0.25">
      <c r="A2367" t="s">
        <v>425</v>
      </c>
      <c r="B2367" t="s">
        <v>132</v>
      </c>
      <c r="C2367" s="2">
        <f>HYPERLINK("https://svao.dolgi.msk.ru/account/1760067982/", 1760067982)</f>
        <v>1760067982</v>
      </c>
      <c r="D2367">
        <v>6183.48</v>
      </c>
    </row>
    <row r="2368" spans="1:4" x14ac:dyDescent="0.25">
      <c r="A2368" t="s">
        <v>425</v>
      </c>
      <c r="B2368" t="s">
        <v>27</v>
      </c>
      <c r="C2368" s="2">
        <f>HYPERLINK("https://svao.dolgi.msk.ru/account/1760068045/", 1760068045)</f>
        <v>1760068045</v>
      </c>
      <c r="D2368">
        <v>109399.91</v>
      </c>
    </row>
    <row r="2369" spans="1:4" x14ac:dyDescent="0.25">
      <c r="A2369" t="s">
        <v>425</v>
      </c>
      <c r="B2369" t="s">
        <v>290</v>
      </c>
      <c r="C2369" s="2">
        <f>HYPERLINK("https://svao.dolgi.msk.ru/account/1760068053/", 1760068053)</f>
        <v>1760068053</v>
      </c>
      <c r="D2369">
        <v>26273.58</v>
      </c>
    </row>
    <row r="2370" spans="1:4" x14ac:dyDescent="0.25">
      <c r="A2370" t="s">
        <v>425</v>
      </c>
      <c r="B2370" t="s">
        <v>28</v>
      </c>
      <c r="C2370" s="2">
        <f>HYPERLINK("https://svao.dolgi.msk.ru/account/1760068117/", 1760068117)</f>
        <v>1760068117</v>
      </c>
      <c r="D2370">
        <v>8592.61</v>
      </c>
    </row>
    <row r="2371" spans="1:4" x14ac:dyDescent="0.25">
      <c r="A2371" t="s">
        <v>425</v>
      </c>
      <c r="B2371" t="s">
        <v>30</v>
      </c>
      <c r="C2371" s="2">
        <f>HYPERLINK("https://svao.dolgi.msk.ru/account/1760068168/", 1760068168)</f>
        <v>1760068168</v>
      </c>
      <c r="D2371">
        <v>4248.59</v>
      </c>
    </row>
    <row r="2372" spans="1:4" x14ac:dyDescent="0.25">
      <c r="A2372" t="s">
        <v>425</v>
      </c>
      <c r="B2372" t="s">
        <v>245</v>
      </c>
      <c r="C2372" s="2">
        <f>HYPERLINK("https://svao.dolgi.msk.ru/account/1760068248/", 1760068248)</f>
        <v>1760068248</v>
      </c>
      <c r="D2372">
        <v>4945.62</v>
      </c>
    </row>
    <row r="2373" spans="1:4" x14ac:dyDescent="0.25">
      <c r="A2373" t="s">
        <v>425</v>
      </c>
      <c r="B2373" t="s">
        <v>32</v>
      </c>
      <c r="C2373" s="2">
        <f>HYPERLINK("https://svao.dolgi.msk.ru/account/1760068256/", 1760068256)</f>
        <v>1760068256</v>
      </c>
      <c r="D2373">
        <v>7550.61</v>
      </c>
    </row>
    <row r="2374" spans="1:4" x14ac:dyDescent="0.25">
      <c r="A2374" t="s">
        <v>425</v>
      </c>
      <c r="B2374" t="s">
        <v>35</v>
      </c>
      <c r="C2374" s="2">
        <f>HYPERLINK("https://svao.dolgi.msk.ru/account/1760068328/", 1760068328)</f>
        <v>1760068328</v>
      </c>
      <c r="D2374">
        <v>76078.34</v>
      </c>
    </row>
    <row r="2375" spans="1:4" x14ac:dyDescent="0.25">
      <c r="A2375" t="s">
        <v>425</v>
      </c>
      <c r="B2375" t="s">
        <v>87</v>
      </c>
      <c r="C2375" s="2">
        <f>HYPERLINK("https://svao.dolgi.msk.ru/account/1760068395/", 1760068395)</f>
        <v>1760068395</v>
      </c>
      <c r="D2375">
        <v>3722.29</v>
      </c>
    </row>
    <row r="2376" spans="1:4" x14ac:dyDescent="0.25">
      <c r="A2376" t="s">
        <v>425</v>
      </c>
      <c r="B2376" t="s">
        <v>304</v>
      </c>
      <c r="C2376" s="2">
        <f>HYPERLINK("https://svao.dolgi.msk.ru/account/1760068432/", 1760068432)</f>
        <v>1760068432</v>
      </c>
      <c r="D2376">
        <v>2772.86</v>
      </c>
    </row>
    <row r="2377" spans="1:4" x14ac:dyDescent="0.25">
      <c r="A2377" t="s">
        <v>425</v>
      </c>
      <c r="B2377" t="s">
        <v>37</v>
      </c>
      <c r="C2377" s="2">
        <f>HYPERLINK("https://svao.dolgi.msk.ru/account/1760068459/", 1760068459)</f>
        <v>1760068459</v>
      </c>
      <c r="D2377">
        <v>7196.48</v>
      </c>
    </row>
    <row r="2378" spans="1:4" x14ac:dyDescent="0.25">
      <c r="A2378" t="s">
        <v>425</v>
      </c>
      <c r="B2378" t="s">
        <v>38</v>
      </c>
      <c r="C2378" s="2">
        <f>HYPERLINK("https://svao.dolgi.msk.ru/account/1760068467/", 1760068467)</f>
        <v>1760068467</v>
      </c>
      <c r="D2378">
        <v>6610.96</v>
      </c>
    </row>
    <row r="2379" spans="1:4" x14ac:dyDescent="0.25">
      <c r="A2379" t="s">
        <v>425</v>
      </c>
      <c r="B2379" t="s">
        <v>143</v>
      </c>
      <c r="C2379" s="2">
        <f>HYPERLINK("https://svao.dolgi.msk.ru/account/1760068571/", 1760068571)</f>
        <v>1760068571</v>
      </c>
      <c r="D2379">
        <v>7000.82</v>
      </c>
    </row>
    <row r="2380" spans="1:4" x14ac:dyDescent="0.25">
      <c r="A2380" t="s">
        <v>425</v>
      </c>
      <c r="B2380" t="s">
        <v>315</v>
      </c>
      <c r="C2380" s="2">
        <f>HYPERLINK("https://svao.dolgi.msk.ru/account/1760068627/", 1760068627)</f>
        <v>1760068627</v>
      </c>
      <c r="D2380">
        <v>5099.67</v>
      </c>
    </row>
    <row r="2381" spans="1:4" x14ac:dyDescent="0.25">
      <c r="A2381" t="s">
        <v>425</v>
      </c>
      <c r="B2381" t="s">
        <v>147</v>
      </c>
      <c r="C2381" s="2">
        <f>HYPERLINK("https://svao.dolgi.msk.ru/account/1760068774/", 1760068774)</f>
        <v>1760068774</v>
      </c>
      <c r="D2381">
        <v>6006.4</v>
      </c>
    </row>
    <row r="2382" spans="1:4" x14ac:dyDescent="0.25">
      <c r="A2382" t="s">
        <v>425</v>
      </c>
      <c r="B2382" t="s">
        <v>306</v>
      </c>
      <c r="C2382" s="2">
        <f>HYPERLINK("https://svao.dolgi.msk.ru/account/1760068811/", 1760068811)</f>
        <v>1760068811</v>
      </c>
      <c r="D2382">
        <v>7367.43</v>
      </c>
    </row>
    <row r="2383" spans="1:4" x14ac:dyDescent="0.25">
      <c r="A2383" t="s">
        <v>425</v>
      </c>
      <c r="B2383" t="s">
        <v>149</v>
      </c>
      <c r="C2383" s="2">
        <f>HYPERLINK("https://svao.dolgi.msk.ru/account/1760068969/", 1760068969)</f>
        <v>1760068969</v>
      </c>
      <c r="D2383">
        <v>7481.58</v>
      </c>
    </row>
    <row r="2384" spans="1:4" x14ac:dyDescent="0.25">
      <c r="A2384" t="s">
        <v>425</v>
      </c>
      <c r="B2384" t="s">
        <v>317</v>
      </c>
      <c r="C2384" s="2">
        <f>HYPERLINK("https://svao.dolgi.msk.ru/account/1760069048/", 1760069048)</f>
        <v>1760069048</v>
      </c>
      <c r="D2384">
        <v>9447.75</v>
      </c>
    </row>
    <row r="2385" spans="1:4" x14ac:dyDescent="0.25">
      <c r="A2385" t="s">
        <v>426</v>
      </c>
      <c r="B2385" t="s">
        <v>41</v>
      </c>
      <c r="C2385" s="2">
        <f>HYPERLINK("https://svao.dolgi.msk.ru/account/1760106611/", 1760106611)</f>
        <v>1760106611</v>
      </c>
      <c r="D2385">
        <v>3105.65</v>
      </c>
    </row>
    <row r="2386" spans="1:4" x14ac:dyDescent="0.25">
      <c r="A2386" t="s">
        <v>426</v>
      </c>
      <c r="B2386" t="s">
        <v>5</v>
      </c>
      <c r="C2386" s="2">
        <f>HYPERLINK("https://svao.dolgi.msk.ru/account/1760106638/", 1760106638)</f>
        <v>1760106638</v>
      </c>
      <c r="D2386">
        <v>106323.14</v>
      </c>
    </row>
    <row r="2387" spans="1:4" x14ac:dyDescent="0.25">
      <c r="A2387" t="s">
        <v>426</v>
      </c>
      <c r="B2387" t="s">
        <v>5</v>
      </c>
      <c r="C2387" s="2">
        <f>HYPERLINK("https://svao.dolgi.msk.ru/account/1760106646/", 1760106646)</f>
        <v>1760106646</v>
      </c>
      <c r="D2387">
        <v>1344</v>
      </c>
    </row>
    <row r="2388" spans="1:4" x14ac:dyDescent="0.25">
      <c r="A2388" t="s">
        <v>426</v>
      </c>
      <c r="B2388" t="s">
        <v>74</v>
      </c>
      <c r="C2388" s="2">
        <f>HYPERLINK("https://svao.dolgi.msk.ru/account/1760106777/", 1760106777)</f>
        <v>1760106777</v>
      </c>
      <c r="D2388">
        <v>7699.03</v>
      </c>
    </row>
    <row r="2389" spans="1:4" x14ac:dyDescent="0.25">
      <c r="A2389" t="s">
        <v>426</v>
      </c>
      <c r="B2389" t="s">
        <v>75</v>
      </c>
      <c r="C2389" s="2">
        <f>HYPERLINK("https://svao.dolgi.msk.ru/account/1760106814/", 1760106814)</f>
        <v>1760106814</v>
      </c>
      <c r="D2389">
        <v>4494.74</v>
      </c>
    </row>
    <row r="2390" spans="1:4" x14ac:dyDescent="0.25">
      <c r="A2390" t="s">
        <v>426</v>
      </c>
      <c r="B2390" t="s">
        <v>75</v>
      </c>
      <c r="C2390" s="2">
        <f>HYPERLINK("https://svao.dolgi.msk.ru/account/1760106822/", 1760106822)</f>
        <v>1760106822</v>
      </c>
      <c r="D2390">
        <v>4027.49</v>
      </c>
    </row>
    <row r="2391" spans="1:4" x14ac:dyDescent="0.25">
      <c r="A2391" t="s">
        <v>426</v>
      </c>
      <c r="B2391" t="s">
        <v>91</v>
      </c>
      <c r="C2391" s="2">
        <f>HYPERLINK("https://svao.dolgi.msk.ru/account/1760106865/", 1760106865)</f>
        <v>1760106865</v>
      </c>
      <c r="D2391">
        <v>2943.2</v>
      </c>
    </row>
    <row r="2392" spans="1:4" x14ac:dyDescent="0.25">
      <c r="A2392" t="s">
        <v>426</v>
      </c>
      <c r="B2392" t="s">
        <v>16</v>
      </c>
      <c r="C2392" s="2">
        <f>HYPERLINK("https://svao.dolgi.msk.ru/account/1760107024/", 1760107024)</f>
        <v>1760107024</v>
      </c>
      <c r="D2392">
        <v>2778.11</v>
      </c>
    </row>
    <row r="2393" spans="1:4" x14ac:dyDescent="0.25">
      <c r="A2393" t="s">
        <v>426</v>
      </c>
      <c r="B2393" t="s">
        <v>19</v>
      </c>
      <c r="C2393" s="2">
        <f>HYPERLINK("https://svao.dolgi.msk.ru/account/1760107075/", 1760107075)</f>
        <v>1760107075</v>
      </c>
      <c r="D2393">
        <v>7411.63</v>
      </c>
    </row>
    <row r="2394" spans="1:4" x14ac:dyDescent="0.25">
      <c r="A2394" t="s">
        <v>426</v>
      </c>
      <c r="B2394" t="s">
        <v>19</v>
      </c>
      <c r="C2394" s="2">
        <f>HYPERLINK("https://svao.dolgi.msk.ru/account/1760253611/", 1760253611)</f>
        <v>1760253611</v>
      </c>
      <c r="D2394">
        <v>2238.8000000000002</v>
      </c>
    </row>
    <row r="2395" spans="1:4" x14ac:dyDescent="0.25">
      <c r="A2395" t="s">
        <v>426</v>
      </c>
      <c r="B2395" t="s">
        <v>109</v>
      </c>
      <c r="C2395" s="2">
        <f>HYPERLINK("https://svao.dolgi.msk.ru/account/1760107307/", 1760107307)</f>
        <v>1760107307</v>
      </c>
      <c r="D2395">
        <v>421983.9</v>
      </c>
    </row>
    <row r="2396" spans="1:4" x14ac:dyDescent="0.25">
      <c r="A2396" t="s">
        <v>426</v>
      </c>
      <c r="B2396" t="s">
        <v>20</v>
      </c>
      <c r="C2396" s="2">
        <f>HYPERLINK("https://svao.dolgi.msk.ru/account/1760107112/", 1760107112)</f>
        <v>1760107112</v>
      </c>
      <c r="D2396">
        <v>3701.84</v>
      </c>
    </row>
    <row r="2397" spans="1:4" x14ac:dyDescent="0.25">
      <c r="A2397" t="s">
        <v>426</v>
      </c>
      <c r="B2397" t="s">
        <v>94</v>
      </c>
      <c r="C2397" s="2">
        <f>HYPERLINK("https://svao.dolgi.msk.ru/account/1760107171/", 1760107171)</f>
        <v>1760107171</v>
      </c>
      <c r="D2397">
        <v>3316.57</v>
      </c>
    </row>
    <row r="2398" spans="1:4" x14ac:dyDescent="0.25">
      <c r="A2398" t="s">
        <v>426</v>
      </c>
      <c r="B2398" t="s">
        <v>112</v>
      </c>
      <c r="C2398" s="2">
        <f>HYPERLINK("https://svao.dolgi.msk.ru/account/1760107198/", 1760107198)</f>
        <v>1760107198</v>
      </c>
      <c r="D2398">
        <v>255219.01</v>
      </c>
    </row>
    <row r="2399" spans="1:4" x14ac:dyDescent="0.25">
      <c r="A2399" t="s">
        <v>426</v>
      </c>
      <c r="B2399" t="s">
        <v>112</v>
      </c>
      <c r="C2399" s="2">
        <f>HYPERLINK("https://svao.dolgi.msk.ru/account/1761819955/", 1761819955)</f>
        <v>1761819955</v>
      </c>
      <c r="D2399">
        <v>33457.32</v>
      </c>
    </row>
    <row r="2400" spans="1:4" x14ac:dyDescent="0.25">
      <c r="A2400" t="s">
        <v>427</v>
      </c>
      <c r="B2400" t="s">
        <v>73</v>
      </c>
      <c r="C2400" s="2">
        <f>HYPERLINK("https://svao.dolgi.msk.ru/account/1760071287/", 1760071287)</f>
        <v>1760071287</v>
      </c>
      <c r="D2400">
        <v>6078.44</v>
      </c>
    </row>
    <row r="2401" spans="1:4" x14ac:dyDescent="0.25">
      <c r="A2401" t="s">
        <v>427</v>
      </c>
      <c r="B2401" t="s">
        <v>104</v>
      </c>
      <c r="C2401" s="2">
        <f>HYPERLINK("https://svao.dolgi.msk.ru/account/1760071295/", 1760071295)</f>
        <v>1760071295</v>
      </c>
      <c r="D2401">
        <v>2789.66</v>
      </c>
    </row>
    <row r="2402" spans="1:4" x14ac:dyDescent="0.25">
      <c r="A2402" t="s">
        <v>427</v>
      </c>
      <c r="B2402" t="s">
        <v>104</v>
      </c>
      <c r="C2402" s="2">
        <f>HYPERLINK("https://svao.dolgi.msk.ru/account/1760071308/", 1760071308)</f>
        <v>1760071308</v>
      </c>
      <c r="D2402">
        <v>3043.81</v>
      </c>
    </row>
    <row r="2403" spans="1:4" x14ac:dyDescent="0.25">
      <c r="A2403" t="s">
        <v>427</v>
      </c>
      <c r="B2403" t="s">
        <v>8</v>
      </c>
      <c r="C2403" s="2">
        <f>HYPERLINK("https://svao.dolgi.msk.ru/account/1760071316/", 1760071316)</f>
        <v>1760071316</v>
      </c>
      <c r="D2403">
        <v>11626.26</v>
      </c>
    </row>
    <row r="2404" spans="1:4" x14ac:dyDescent="0.25">
      <c r="A2404" t="s">
        <v>427</v>
      </c>
      <c r="B2404" t="s">
        <v>75</v>
      </c>
      <c r="C2404" s="2">
        <f>HYPERLINK("https://svao.dolgi.msk.ru/account/1760071367/", 1760071367)</f>
        <v>1760071367</v>
      </c>
      <c r="D2404">
        <v>7899.2</v>
      </c>
    </row>
    <row r="2405" spans="1:4" x14ac:dyDescent="0.25">
      <c r="A2405" t="s">
        <v>427</v>
      </c>
      <c r="B2405" t="s">
        <v>12</v>
      </c>
      <c r="C2405" s="2">
        <f>HYPERLINK("https://svao.dolgi.msk.ru/account/1760071412/", 1760071412)</f>
        <v>1760071412</v>
      </c>
      <c r="D2405">
        <v>8966.31</v>
      </c>
    </row>
    <row r="2406" spans="1:4" x14ac:dyDescent="0.25">
      <c r="A2406" t="s">
        <v>427</v>
      </c>
      <c r="B2406" t="s">
        <v>76</v>
      </c>
      <c r="C2406" s="2">
        <f>HYPERLINK("https://svao.dolgi.msk.ru/account/1760071623/", 1760071623)</f>
        <v>1760071623</v>
      </c>
      <c r="D2406">
        <v>35102.949999999997</v>
      </c>
    </row>
    <row r="2407" spans="1:4" x14ac:dyDescent="0.25">
      <c r="A2407" t="s">
        <v>427</v>
      </c>
      <c r="B2407" t="s">
        <v>94</v>
      </c>
      <c r="C2407" s="2">
        <f>HYPERLINK("https://svao.dolgi.msk.ru/account/1760071674/", 1760071674)</f>
        <v>1760071674</v>
      </c>
      <c r="D2407">
        <v>7389.76</v>
      </c>
    </row>
    <row r="2408" spans="1:4" x14ac:dyDescent="0.25">
      <c r="A2408" t="s">
        <v>427</v>
      </c>
      <c r="B2408" t="s">
        <v>112</v>
      </c>
      <c r="C2408" s="2">
        <f>HYPERLINK("https://svao.dolgi.msk.ru/account/1760071682/", 1760071682)</f>
        <v>1760071682</v>
      </c>
      <c r="D2408">
        <v>6512.08</v>
      </c>
    </row>
    <row r="2409" spans="1:4" x14ac:dyDescent="0.25">
      <c r="A2409" t="s">
        <v>427</v>
      </c>
      <c r="B2409" t="s">
        <v>113</v>
      </c>
      <c r="C2409" s="2">
        <f>HYPERLINK("https://svao.dolgi.msk.ru/account/1761768123/", 1761768123)</f>
        <v>1761768123</v>
      </c>
      <c r="D2409">
        <v>758.38</v>
      </c>
    </row>
    <row r="2410" spans="1:4" x14ac:dyDescent="0.25">
      <c r="A2410" t="s">
        <v>427</v>
      </c>
      <c r="B2410" t="s">
        <v>113</v>
      </c>
      <c r="C2410" s="2">
        <f>HYPERLINK("https://svao.dolgi.msk.ru/account/1761768238/", 1761768238)</f>
        <v>1761768238</v>
      </c>
      <c r="D2410">
        <v>1648.43</v>
      </c>
    </row>
    <row r="2411" spans="1:4" x14ac:dyDescent="0.25">
      <c r="A2411" t="s">
        <v>427</v>
      </c>
      <c r="B2411" t="s">
        <v>114</v>
      </c>
      <c r="C2411" s="2">
        <f>HYPERLINK("https://svao.dolgi.msk.ru/account/1760071746/", 1760071746)</f>
        <v>1760071746</v>
      </c>
      <c r="D2411">
        <v>5067.08</v>
      </c>
    </row>
    <row r="2412" spans="1:4" x14ac:dyDescent="0.25">
      <c r="A2412" t="s">
        <v>427</v>
      </c>
      <c r="B2412" t="s">
        <v>78</v>
      </c>
      <c r="C2412" s="2">
        <f>HYPERLINK("https://svao.dolgi.msk.ru/account/1760071754/", 1760071754)</f>
        <v>1760071754</v>
      </c>
      <c r="D2412">
        <v>10590</v>
      </c>
    </row>
    <row r="2413" spans="1:4" x14ac:dyDescent="0.25">
      <c r="A2413" t="s">
        <v>427</v>
      </c>
      <c r="B2413" t="s">
        <v>115</v>
      </c>
      <c r="C2413" s="2">
        <f>HYPERLINK("https://svao.dolgi.msk.ru/account/1760071834/", 1760071834)</f>
        <v>1760071834</v>
      </c>
      <c r="D2413">
        <v>3714.7</v>
      </c>
    </row>
    <row r="2414" spans="1:4" x14ac:dyDescent="0.25">
      <c r="A2414" t="s">
        <v>427</v>
      </c>
      <c r="B2414" t="s">
        <v>24</v>
      </c>
      <c r="C2414" s="2">
        <f>HYPERLINK("https://svao.dolgi.msk.ru/account/1760071869/", 1760071869)</f>
        <v>1760071869</v>
      </c>
      <c r="D2414">
        <v>6210.07</v>
      </c>
    </row>
    <row r="2415" spans="1:4" x14ac:dyDescent="0.25">
      <c r="A2415" t="s">
        <v>427</v>
      </c>
      <c r="B2415" t="s">
        <v>81</v>
      </c>
      <c r="C2415" s="2">
        <f>HYPERLINK("https://svao.dolgi.msk.ru/account/1760071973/", 1760071973)</f>
        <v>1760071973</v>
      </c>
      <c r="D2415">
        <v>4338.66</v>
      </c>
    </row>
    <row r="2416" spans="1:4" x14ac:dyDescent="0.25">
      <c r="A2416" t="s">
        <v>427</v>
      </c>
      <c r="B2416" t="s">
        <v>120</v>
      </c>
      <c r="C2416" s="2">
        <f>HYPERLINK("https://svao.dolgi.msk.ru/account/1760072001/", 1760072001)</f>
        <v>1760072001</v>
      </c>
      <c r="D2416">
        <v>3229.4</v>
      </c>
    </row>
    <row r="2417" spans="1:4" x14ac:dyDescent="0.25">
      <c r="A2417" t="s">
        <v>427</v>
      </c>
      <c r="B2417" t="s">
        <v>82</v>
      </c>
      <c r="C2417" s="2">
        <f>HYPERLINK("https://svao.dolgi.msk.ru/account/1760072028/", 1760072028)</f>
        <v>1760072028</v>
      </c>
      <c r="D2417">
        <v>6584.85</v>
      </c>
    </row>
    <row r="2418" spans="1:4" x14ac:dyDescent="0.25">
      <c r="A2418" t="s">
        <v>427</v>
      </c>
      <c r="B2418" t="s">
        <v>132</v>
      </c>
      <c r="C2418" s="2">
        <f>HYPERLINK("https://svao.dolgi.msk.ru/account/1760072079/", 1760072079)</f>
        <v>1760072079</v>
      </c>
      <c r="D2418">
        <v>5709.78</v>
      </c>
    </row>
    <row r="2419" spans="1:4" x14ac:dyDescent="0.25">
      <c r="A2419" t="s">
        <v>427</v>
      </c>
      <c r="B2419" t="s">
        <v>26</v>
      </c>
      <c r="C2419" s="2">
        <f>HYPERLINK("https://svao.dolgi.msk.ru/account/1760072108/", 1760072108)</f>
        <v>1760072108</v>
      </c>
      <c r="D2419">
        <v>190.49</v>
      </c>
    </row>
    <row r="2420" spans="1:4" x14ac:dyDescent="0.25">
      <c r="A2420" t="s">
        <v>427</v>
      </c>
      <c r="B2420" t="s">
        <v>133</v>
      </c>
      <c r="C2420" s="2">
        <f>HYPERLINK("https://svao.dolgi.msk.ru/account/1760072116/", 1760072116)</f>
        <v>1760072116</v>
      </c>
      <c r="D2420">
        <v>4183.4399999999996</v>
      </c>
    </row>
    <row r="2421" spans="1:4" x14ac:dyDescent="0.25">
      <c r="A2421" t="s">
        <v>427</v>
      </c>
      <c r="B2421" t="s">
        <v>96</v>
      </c>
      <c r="C2421" s="2">
        <f>HYPERLINK("https://svao.dolgi.msk.ru/account/1760072132/", 1760072132)</f>
        <v>1760072132</v>
      </c>
      <c r="D2421">
        <v>3750.7</v>
      </c>
    </row>
    <row r="2422" spans="1:4" x14ac:dyDescent="0.25">
      <c r="A2422" t="s">
        <v>427</v>
      </c>
      <c r="B2422" t="s">
        <v>139</v>
      </c>
      <c r="C2422" s="2">
        <f>HYPERLINK("https://svao.dolgi.msk.ru/account/1760072204/", 1760072204)</f>
        <v>1760072204</v>
      </c>
      <c r="D2422">
        <v>12514.88</v>
      </c>
    </row>
    <row r="2423" spans="1:4" x14ac:dyDescent="0.25">
      <c r="A2423" t="s">
        <v>427</v>
      </c>
      <c r="B2423" t="s">
        <v>129</v>
      </c>
      <c r="C2423" s="2">
        <f>HYPERLINK("https://svao.dolgi.msk.ru/account/1760072255/", 1760072255)</f>
        <v>1760072255</v>
      </c>
      <c r="D2423">
        <v>11708.06</v>
      </c>
    </row>
    <row r="2424" spans="1:4" x14ac:dyDescent="0.25">
      <c r="A2424" t="s">
        <v>427</v>
      </c>
      <c r="B2424" t="s">
        <v>97</v>
      </c>
      <c r="C2424" s="2">
        <f>HYPERLINK("https://svao.dolgi.msk.ru/account/1760072271/", 1760072271)</f>
        <v>1760072271</v>
      </c>
      <c r="D2424">
        <v>3672.47</v>
      </c>
    </row>
    <row r="2425" spans="1:4" x14ac:dyDescent="0.25">
      <c r="A2425" t="s">
        <v>427</v>
      </c>
      <c r="B2425" t="s">
        <v>135</v>
      </c>
      <c r="C2425" s="2">
        <f>HYPERLINK("https://svao.dolgi.msk.ru/account/1760072458/", 1760072458)</f>
        <v>1760072458</v>
      </c>
      <c r="D2425">
        <v>8109.72</v>
      </c>
    </row>
    <row r="2426" spans="1:4" x14ac:dyDescent="0.25">
      <c r="A2426" t="s">
        <v>427</v>
      </c>
      <c r="B2426" t="s">
        <v>36</v>
      </c>
      <c r="C2426" s="2">
        <f>HYPERLINK("https://svao.dolgi.msk.ru/account/1760072546/", 1760072546)</f>
        <v>1760072546</v>
      </c>
      <c r="D2426">
        <v>4069.63</v>
      </c>
    </row>
    <row r="2427" spans="1:4" x14ac:dyDescent="0.25">
      <c r="A2427" t="s">
        <v>427</v>
      </c>
      <c r="B2427" t="s">
        <v>293</v>
      </c>
      <c r="C2427" s="2">
        <f>HYPERLINK("https://svao.dolgi.msk.ru/account/1760072677/", 1760072677)</f>
        <v>1760072677</v>
      </c>
      <c r="D2427">
        <v>7778.78</v>
      </c>
    </row>
    <row r="2428" spans="1:4" x14ac:dyDescent="0.25">
      <c r="A2428" t="s">
        <v>427</v>
      </c>
      <c r="B2428" t="s">
        <v>305</v>
      </c>
      <c r="C2428" s="2">
        <f>HYPERLINK("https://svao.dolgi.msk.ru/account/1760072749/", 1760072749)</f>
        <v>1760072749</v>
      </c>
      <c r="D2428">
        <v>10968.13</v>
      </c>
    </row>
    <row r="2429" spans="1:4" x14ac:dyDescent="0.25">
      <c r="A2429" t="s">
        <v>427</v>
      </c>
      <c r="B2429" t="s">
        <v>143</v>
      </c>
      <c r="C2429" s="2">
        <f>HYPERLINK("https://svao.dolgi.msk.ru/account/1760072757/", 1760072757)</f>
        <v>1760072757</v>
      </c>
      <c r="D2429">
        <v>65549.41</v>
      </c>
    </row>
    <row r="2430" spans="1:4" x14ac:dyDescent="0.25">
      <c r="A2430" t="s">
        <v>427</v>
      </c>
      <c r="B2430" t="s">
        <v>45</v>
      </c>
      <c r="C2430" s="2">
        <f>HYPERLINK("https://svao.dolgi.msk.ru/account/1760072765/", 1760072765)</f>
        <v>1760072765</v>
      </c>
      <c r="D2430">
        <v>34782.85</v>
      </c>
    </row>
    <row r="2431" spans="1:4" x14ac:dyDescent="0.25">
      <c r="A2431" t="s">
        <v>427</v>
      </c>
      <c r="B2431" t="s">
        <v>145</v>
      </c>
      <c r="C2431" s="2">
        <f>HYPERLINK("https://svao.dolgi.msk.ru/account/1760072845/", 1760072845)</f>
        <v>1760072845</v>
      </c>
      <c r="D2431">
        <v>12860.3</v>
      </c>
    </row>
    <row r="2432" spans="1:4" x14ac:dyDescent="0.25">
      <c r="A2432" t="s">
        <v>427</v>
      </c>
      <c r="B2432" t="s">
        <v>249</v>
      </c>
      <c r="C2432" s="2">
        <f>HYPERLINK("https://svao.dolgi.msk.ru/account/1760072853/", 1760072853)</f>
        <v>1760072853</v>
      </c>
      <c r="D2432">
        <v>7863.32</v>
      </c>
    </row>
    <row r="2433" spans="1:4" x14ac:dyDescent="0.25">
      <c r="A2433" t="s">
        <v>427</v>
      </c>
      <c r="B2433" t="s">
        <v>47</v>
      </c>
      <c r="C2433" s="2">
        <f>HYPERLINK("https://svao.dolgi.msk.ru/account/1760072888/", 1760072888)</f>
        <v>1760072888</v>
      </c>
      <c r="D2433">
        <v>3147.79</v>
      </c>
    </row>
    <row r="2434" spans="1:4" x14ac:dyDescent="0.25">
      <c r="A2434" t="s">
        <v>427</v>
      </c>
      <c r="B2434" t="s">
        <v>251</v>
      </c>
      <c r="C2434" s="2">
        <f>HYPERLINK("https://svao.dolgi.msk.ru/account/1760072925/", 1760072925)</f>
        <v>1760072925</v>
      </c>
      <c r="D2434">
        <v>10057.450000000001</v>
      </c>
    </row>
    <row r="2435" spans="1:4" x14ac:dyDescent="0.25">
      <c r="A2435" t="s">
        <v>427</v>
      </c>
      <c r="B2435" t="s">
        <v>252</v>
      </c>
      <c r="C2435" s="2">
        <f>HYPERLINK("https://svao.dolgi.msk.ru/account/1760072968/", 1760072968)</f>
        <v>1760072968</v>
      </c>
      <c r="D2435">
        <v>10364.98</v>
      </c>
    </row>
    <row r="2436" spans="1:4" x14ac:dyDescent="0.25">
      <c r="A2436" t="s">
        <v>427</v>
      </c>
      <c r="B2436" t="s">
        <v>50</v>
      </c>
      <c r="C2436" s="2">
        <f>HYPERLINK("https://svao.dolgi.msk.ru/account/1760072984/", 1760072984)</f>
        <v>1760072984</v>
      </c>
      <c r="D2436">
        <v>9204.0499999999993</v>
      </c>
    </row>
    <row r="2437" spans="1:4" x14ac:dyDescent="0.25">
      <c r="A2437" t="s">
        <v>427</v>
      </c>
      <c r="B2437" t="s">
        <v>331</v>
      </c>
      <c r="C2437" s="2">
        <f>HYPERLINK("https://svao.dolgi.msk.ru/account/1760073012/", 1760073012)</f>
        <v>1760073012</v>
      </c>
      <c r="D2437">
        <v>2961.98</v>
      </c>
    </row>
    <row r="2438" spans="1:4" x14ac:dyDescent="0.25">
      <c r="A2438" t="s">
        <v>427</v>
      </c>
      <c r="B2438" t="s">
        <v>331</v>
      </c>
      <c r="C2438" s="2">
        <f>HYPERLINK("https://svao.dolgi.msk.ru/account/1760073039/", 1760073039)</f>
        <v>1760073039</v>
      </c>
      <c r="D2438">
        <v>1362.62</v>
      </c>
    </row>
    <row r="2439" spans="1:4" x14ac:dyDescent="0.25">
      <c r="A2439" t="s">
        <v>427</v>
      </c>
      <c r="B2439" t="s">
        <v>316</v>
      </c>
      <c r="C2439" s="2">
        <f>HYPERLINK("https://svao.dolgi.msk.ru/account/1760074269/", 1760074269)</f>
        <v>1760074269</v>
      </c>
      <c r="D2439">
        <v>8821.4500000000007</v>
      </c>
    </row>
    <row r="2440" spans="1:4" x14ac:dyDescent="0.25">
      <c r="A2440" t="s">
        <v>427</v>
      </c>
      <c r="B2440" t="s">
        <v>307</v>
      </c>
      <c r="C2440" s="2">
        <f>HYPERLINK("https://svao.dolgi.msk.ru/account/1760073098/", 1760073098)</f>
        <v>1760073098</v>
      </c>
      <c r="D2440">
        <v>36747.35</v>
      </c>
    </row>
    <row r="2441" spans="1:4" x14ac:dyDescent="0.25">
      <c r="A2441" t="s">
        <v>427</v>
      </c>
      <c r="B2441" t="s">
        <v>317</v>
      </c>
      <c r="C2441" s="2">
        <f>HYPERLINK("https://svao.dolgi.msk.ru/account/1760073186/", 1760073186)</f>
        <v>1760073186</v>
      </c>
      <c r="D2441">
        <v>43143.11</v>
      </c>
    </row>
    <row r="2442" spans="1:4" x14ac:dyDescent="0.25">
      <c r="A2442" t="s">
        <v>427</v>
      </c>
      <c r="B2442" t="s">
        <v>53</v>
      </c>
      <c r="C2442" s="2">
        <f>HYPERLINK("https://svao.dolgi.msk.ru/account/1760073194/", 1760073194)</f>
        <v>1760073194</v>
      </c>
      <c r="D2442">
        <v>117648.76</v>
      </c>
    </row>
    <row r="2443" spans="1:4" x14ac:dyDescent="0.25">
      <c r="A2443" t="s">
        <v>427</v>
      </c>
      <c r="B2443" t="s">
        <v>253</v>
      </c>
      <c r="C2443" s="2">
        <f>HYPERLINK("https://svao.dolgi.msk.ru/account/1760073207/", 1760073207)</f>
        <v>1760073207</v>
      </c>
      <c r="D2443">
        <v>6587.76</v>
      </c>
    </row>
    <row r="2444" spans="1:4" x14ac:dyDescent="0.25">
      <c r="A2444" t="s">
        <v>427</v>
      </c>
      <c r="B2444" t="s">
        <v>428</v>
      </c>
      <c r="C2444" s="2">
        <f>HYPERLINK("https://svao.dolgi.msk.ru/account/1760073258/", 1760073258)</f>
        <v>1760073258</v>
      </c>
      <c r="D2444">
        <v>10023.77</v>
      </c>
    </row>
    <row r="2445" spans="1:4" x14ac:dyDescent="0.25">
      <c r="A2445" t="s">
        <v>427</v>
      </c>
      <c r="B2445" t="s">
        <v>254</v>
      </c>
      <c r="C2445" s="2">
        <f>HYPERLINK("https://svao.dolgi.msk.ru/account/1760073282/", 1760073282)</f>
        <v>1760073282</v>
      </c>
      <c r="D2445">
        <v>9203.34</v>
      </c>
    </row>
    <row r="2446" spans="1:4" x14ac:dyDescent="0.25">
      <c r="A2446" t="s">
        <v>427</v>
      </c>
      <c r="B2446" t="s">
        <v>254</v>
      </c>
      <c r="C2446" s="2">
        <f>HYPERLINK("https://svao.dolgi.msk.ru/account/1760073303/", 1760073303)</f>
        <v>1760073303</v>
      </c>
      <c r="D2446">
        <v>169.77</v>
      </c>
    </row>
    <row r="2447" spans="1:4" x14ac:dyDescent="0.25">
      <c r="A2447" t="s">
        <v>427</v>
      </c>
      <c r="B2447" t="s">
        <v>255</v>
      </c>
      <c r="C2447" s="2">
        <f>HYPERLINK("https://svao.dolgi.msk.ru/account/1760073338/", 1760073338)</f>
        <v>1760073338</v>
      </c>
      <c r="D2447">
        <v>24499.57</v>
      </c>
    </row>
    <row r="2448" spans="1:4" x14ac:dyDescent="0.25">
      <c r="A2448" t="s">
        <v>427</v>
      </c>
      <c r="B2448" t="s">
        <v>328</v>
      </c>
      <c r="C2448" s="2">
        <f>HYPERLINK("https://svao.dolgi.msk.ru/account/1760073389/", 1760073389)</f>
        <v>1760073389</v>
      </c>
      <c r="D2448">
        <v>11405.25</v>
      </c>
    </row>
    <row r="2449" spans="1:4" x14ac:dyDescent="0.25">
      <c r="A2449" t="s">
        <v>427</v>
      </c>
      <c r="B2449" t="s">
        <v>312</v>
      </c>
      <c r="C2449" s="2">
        <f>HYPERLINK("https://svao.dolgi.msk.ru/account/1760073397/", 1760073397)</f>
        <v>1760073397</v>
      </c>
      <c r="D2449">
        <v>4052.6</v>
      </c>
    </row>
    <row r="2450" spans="1:4" x14ac:dyDescent="0.25">
      <c r="A2450" t="s">
        <v>427</v>
      </c>
      <c r="B2450" t="s">
        <v>335</v>
      </c>
      <c r="C2450" s="2">
        <f>HYPERLINK("https://svao.dolgi.msk.ru/account/1760073418/", 1760073418)</f>
        <v>1760073418</v>
      </c>
      <c r="D2450">
        <v>85609.08</v>
      </c>
    </row>
    <row r="2451" spans="1:4" x14ac:dyDescent="0.25">
      <c r="A2451" t="s">
        <v>427</v>
      </c>
      <c r="B2451" t="s">
        <v>156</v>
      </c>
      <c r="C2451" s="2">
        <f>HYPERLINK("https://svao.dolgi.msk.ru/account/1760073434/", 1760073434)</f>
        <v>1760073434</v>
      </c>
      <c r="D2451">
        <v>789.31</v>
      </c>
    </row>
    <row r="2452" spans="1:4" x14ac:dyDescent="0.25">
      <c r="A2452" t="s">
        <v>427</v>
      </c>
      <c r="B2452" t="s">
        <v>157</v>
      </c>
      <c r="C2452" s="2">
        <f>HYPERLINK("https://svao.dolgi.msk.ru/account/1760073442/", 1760073442)</f>
        <v>1760073442</v>
      </c>
      <c r="D2452">
        <v>431.83</v>
      </c>
    </row>
    <row r="2453" spans="1:4" x14ac:dyDescent="0.25">
      <c r="A2453" t="s">
        <v>427</v>
      </c>
      <c r="B2453" t="s">
        <v>429</v>
      </c>
      <c r="C2453" s="2">
        <f>HYPERLINK("https://svao.dolgi.msk.ru/account/1760073469/", 1760073469)</f>
        <v>1760073469</v>
      </c>
      <c r="D2453">
        <v>4028.52</v>
      </c>
    </row>
    <row r="2454" spans="1:4" x14ac:dyDescent="0.25">
      <c r="A2454" t="s">
        <v>427</v>
      </c>
      <c r="B2454" t="s">
        <v>57</v>
      </c>
      <c r="C2454" s="2">
        <f>HYPERLINK("https://svao.dolgi.msk.ru/account/1760073549/", 1760073549)</f>
        <v>1760073549</v>
      </c>
      <c r="D2454">
        <v>3098.13</v>
      </c>
    </row>
    <row r="2455" spans="1:4" x14ac:dyDescent="0.25">
      <c r="A2455" t="s">
        <v>427</v>
      </c>
      <c r="B2455" t="s">
        <v>299</v>
      </c>
      <c r="C2455" s="2">
        <f>HYPERLINK("https://svao.dolgi.msk.ru/account/1760073565/", 1760073565)</f>
        <v>1760073565</v>
      </c>
      <c r="D2455">
        <v>6460.94</v>
      </c>
    </row>
    <row r="2456" spans="1:4" x14ac:dyDescent="0.25">
      <c r="A2456" t="s">
        <v>427</v>
      </c>
      <c r="B2456" t="s">
        <v>158</v>
      </c>
      <c r="C2456" s="2">
        <f>HYPERLINK("https://svao.dolgi.msk.ru/account/1760073573/", 1760073573)</f>
        <v>1760073573</v>
      </c>
      <c r="D2456">
        <v>5368.67</v>
      </c>
    </row>
    <row r="2457" spans="1:4" x14ac:dyDescent="0.25">
      <c r="A2457" t="s">
        <v>427</v>
      </c>
      <c r="B2457" t="s">
        <v>59</v>
      </c>
      <c r="C2457" s="2">
        <f>HYPERLINK("https://svao.dolgi.msk.ru/account/1760073581/", 1760073581)</f>
        <v>1760073581</v>
      </c>
      <c r="D2457">
        <v>11149.38</v>
      </c>
    </row>
    <row r="2458" spans="1:4" x14ac:dyDescent="0.25">
      <c r="A2458" t="s">
        <v>427</v>
      </c>
      <c r="B2458" t="s">
        <v>378</v>
      </c>
      <c r="C2458" s="2">
        <f>HYPERLINK("https://svao.dolgi.msk.ru/account/1760073653/", 1760073653)</f>
        <v>1760073653</v>
      </c>
      <c r="D2458">
        <v>7229.12</v>
      </c>
    </row>
    <row r="2459" spans="1:4" x14ac:dyDescent="0.25">
      <c r="A2459" t="s">
        <v>427</v>
      </c>
      <c r="B2459" t="s">
        <v>61</v>
      </c>
      <c r="C2459" s="2">
        <f>HYPERLINK("https://svao.dolgi.msk.ru/account/1760073696/", 1760073696)</f>
        <v>1760073696</v>
      </c>
      <c r="D2459">
        <v>6057.2</v>
      </c>
    </row>
    <row r="2460" spans="1:4" x14ac:dyDescent="0.25">
      <c r="A2460" t="s">
        <v>427</v>
      </c>
      <c r="B2460" t="s">
        <v>62</v>
      </c>
      <c r="C2460" s="2">
        <f>HYPERLINK("https://svao.dolgi.msk.ru/account/1760073717/", 1760073717)</f>
        <v>1760073717</v>
      </c>
      <c r="D2460">
        <v>6296.18</v>
      </c>
    </row>
    <row r="2461" spans="1:4" x14ac:dyDescent="0.25">
      <c r="A2461" t="s">
        <v>427</v>
      </c>
      <c r="B2461" t="s">
        <v>257</v>
      </c>
      <c r="C2461" s="2">
        <f>HYPERLINK("https://svao.dolgi.msk.ru/account/1760073725/", 1760073725)</f>
        <v>1760073725</v>
      </c>
      <c r="D2461">
        <v>9837.92</v>
      </c>
    </row>
    <row r="2462" spans="1:4" x14ac:dyDescent="0.25">
      <c r="A2462" t="s">
        <v>427</v>
      </c>
      <c r="B2462" t="s">
        <v>344</v>
      </c>
      <c r="C2462" s="2">
        <f>HYPERLINK("https://svao.dolgi.msk.ru/account/1760073733/", 1760073733)</f>
        <v>1760073733</v>
      </c>
      <c r="D2462">
        <v>7014.09</v>
      </c>
    </row>
    <row r="2463" spans="1:4" x14ac:dyDescent="0.25">
      <c r="A2463" t="s">
        <v>427</v>
      </c>
      <c r="B2463" t="s">
        <v>345</v>
      </c>
      <c r="C2463" s="2">
        <f>HYPERLINK("https://svao.dolgi.msk.ru/account/1760073776/", 1760073776)</f>
        <v>1760073776</v>
      </c>
      <c r="D2463">
        <v>125.93</v>
      </c>
    </row>
    <row r="2464" spans="1:4" x14ac:dyDescent="0.25">
      <c r="A2464" t="s">
        <v>427</v>
      </c>
      <c r="B2464" t="s">
        <v>162</v>
      </c>
      <c r="C2464" s="2">
        <f>HYPERLINK("https://svao.dolgi.msk.ru/account/1760073864/", 1760073864)</f>
        <v>1760073864</v>
      </c>
      <c r="D2464">
        <v>8616.0400000000009</v>
      </c>
    </row>
    <row r="2465" spans="1:4" x14ac:dyDescent="0.25">
      <c r="A2465" t="s">
        <v>427</v>
      </c>
      <c r="B2465" t="s">
        <v>163</v>
      </c>
      <c r="C2465" s="2">
        <f>HYPERLINK("https://svao.dolgi.msk.ru/account/1760074293/", 1760074293)</f>
        <v>1760074293</v>
      </c>
      <c r="D2465">
        <v>3771.4</v>
      </c>
    </row>
    <row r="2466" spans="1:4" x14ac:dyDescent="0.25">
      <c r="A2466" t="s">
        <v>427</v>
      </c>
      <c r="B2466" t="s">
        <v>259</v>
      </c>
      <c r="C2466" s="2">
        <f>HYPERLINK("https://svao.dolgi.msk.ru/account/1760073928/", 1760073928)</f>
        <v>1760073928</v>
      </c>
      <c r="D2466">
        <v>5437.5</v>
      </c>
    </row>
    <row r="2467" spans="1:4" x14ac:dyDescent="0.25">
      <c r="A2467" t="s">
        <v>427</v>
      </c>
      <c r="B2467" t="s">
        <v>260</v>
      </c>
      <c r="C2467" s="2">
        <f>HYPERLINK("https://svao.dolgi.msk.ru/account/1760073952/", 1760073952)</f>
        <v>1760073952</v>
      </c>
      <c r="D2467">
        <v>675.59</v>
      </c>
    </row>
    <row r="2468" spans="1:4" x14ac:dyDescent="0.25">
      <c r="A2468" t="s">
        <v>427</v>
      </c>
      <c r="B2468" t="s">
        <v>417</v>
      </c>
      <c r="C2468" s="2">
        <f>HYPERLINK("https://svao.dolgi.msk.ru/account/1760074111/", 1760074111)</f>
        <v>1760074111</v>
      </c>
      <c r="D2468">
        <v>9353.8700000000008</v>
      </c>
    </row>
    <row r="2469" spans="1:4" x14ac:dyDescent="0.25">
      <c r="A2469" t="s">
        <v>430</v>
      </c>
      <c r="B2469" t="s">
        <v>6</v>
      </c>
      <c r="C2469" s="2">
        <f>HYPERLINK("https://svao.dolgi.msk.ru/account/1760103154/", 1760103154)</f>
        <v>1760103154</v>
      </c>
      <c r="D2469">
        <v>2776.09</v>
      </c>
    </row>
    <row r="2470" spans="1:4" x14ac:dyDescent="0.25">
      <c r="A2470" t="s">
        <v>430</v>
      </c>
      <c r="B2470" t="s">
        <v>41</v>
      </c>
      <c r="C2470" s="2">
        <f>HYPERLINK("https://svao.dolgi.msk.ru/account/1760103162/", 1760103162)</f>
        <v>1760103162</v>
      </c>
      <c r="D2470">
        <v>181820.86</v>
      </c>
    </row>
    <row r="2471" spans="1:4" x14ac:dyDescent="0.25">
      <c r="A2471" t="s">
        <v>430</v>
      </c>
      <c r="B2471" t="s">
        <v>73</v>
      </c>
      <c r="C2471" s="2">
        <f>HYPERLINK("https://svao.dolgi.msk.ru/account/1760103269/", 1760103269)</f>
        <v>1760103269</v>
      </c>
      <c r="D2471">
        <v>194977.75</v>
      </c>
    </row>
    <row r="2472" spans="1:4" x14ac:dyDescent="0.25">
      <c r="A2472" t="s">
        <v>430</v>
      </c>
      <c r="B2472" t="s">
        <v>104</v>
      </c>
      <c r="C2472" s="2">
        <f>HYPERLINK("https://svao.dolgi.msk.ru/account/1760103277/", 1760103277)</f>
        <v>1760103277</v>
      </c>
      <c r="D2472">
        <v>5630.4</v>
      </c>
    </row>
    <row r="2473" spans="1:4" x14ac:dyDescent="0.25">
      <c r="A2473" t="s">
        <v>430</v>
      </c>
      <c r="B2473" t="s">
        <v>8</v>
      </c>
      <c r="C2473" s="2">
        <f>HYPERLINK("https://svao.dolgi.msk.ru/account/1760103285/", 1760103285)</f>
        <v>1760103285</v>
      </c>
      <c r="D2473">
        <v>4226.3900000000003</v>
      </c>
    </row>
    <row r="2474" spans="1:4" x14ac:dyDescent="0.25">
      <c r="A2474" t="s">
        <v>430</v>
      </c>
      <c r="B2474" t="s">
        <v>74</v>
      </c>
      <c r="C2474" s="2">
        <f>HYPERLINK("https://svao.dolgi.msk.ru/account/1760103293/", 1760103293)</f>
        <v>1760103293</v>
      </c>
      <c r="D2474">
        <v>320.12</v>
      </c>
    </row>
    <row r="2475" spans="1:4" x14ac:dyDescent="0.25">
      <c r="A2475" t="s">
        <v>430</v>
      </c>
      <c r="B2475" t="s">
        <v>91</v>
      </c>
      <c r="C2475" s="2">
        <f>HYPERLINK("https://svao.dolgi.msk.ru/account/1760103349/", 1760103349)</f>
        <v>1760103349</v>
      </c>
      <c r="D2475">
        <v>7051.71</v>
      </c>
    </row>
    <row r="2476" spans="1:4" x14ac:dyDescent="0.25">
      <c r="A2476" t="s">
        <v>430</v>
      </c>
      <c r="B2476" t="s">
        <v>10</v>
      </c>
      <c r="C2476" s="2">
        <f>HYPERLINK("https://svao.dolgi.msk.ru/account/1760103357/", 1760103357)</f>
        <v>1760103357</v>
      </c>
      <c r="D2476">
        <v>4581.6499999999996</v>
      </c>
    </row>
    <row r="2477" spans="1:4" x14ac:dyDescent="0.25">
      <c r="A2477" t="s">
        <v>430</v>
      </c>
      <c r="B2477" t="s">
        <v>12</v>
      </c>
      <c r="C2477" s="2">
        <f>HYPERLINK("https://svao.dolgi.msk.ru/account/1760103381/", 1760103381)</f>
        <v>1760103381</v>
      </c>
      <c r="D2477">
        <v>4580.87</v>
      </c>
    </row>
    <row r="2478" spans="1:4" x14ac:dyDescent="0.25">
      <c r="A2478" t="s">
        <v>430</v>
      </c>
      <c r="B2478" t="s">
        <v>19</v>
      </c>
      <c r="C2478" s="2">
        <f>HYPERLINK("https://svao.dolgi.msk.ru/account/1760103517/", 1760103517)</f>
        <v>1760103517</v>
      </c>
      <c r="D2478">
        <v>289932.84999999998</v>
      </c>
    </row>
    <row r="2479" spans="1:4" x14ac:dyDescent="0.25">
      <c r="A2479" t="s">
        <v>430</v>
      </c>
      <c r="B2479" t="s">
        <v>109</v>
      </c>
      <c r="C2479" s="2">
        <f>HYPERLINK("https://svao.dolgi.msk.ru/account/1760103525/", 1760103525)</f>
        <v>1760103525</v>
      </c>
      <c r="D2479">
        <v>5152.01</v>
      </c>
    </row>
    <row r="2480" spans="1:4" x14ac:dyDescent="0.25">
      <c r="A2480" t="s">
        <v>430</v>
      </c>
      <c r="B2480" t="s">
        <v>92</v>
      </c>
      <c r="C2480" s="2">
        <f>HYPERLINK("https://svao.dolgi.msk.ru/account/1760103576/", 1760103576)</f>
        <v>1760103576</v>
      </c>
      <c r="D2480">
        <v>4123.07</v>
      </c>
    </row>
    <row r="2481" spans="1:4" x14ac:dyDescent="0.25">
      <c r="A2481" t="s">
        <v>430</v>
      </c>
      <c r="B2481" t="s">
        <v>111</v>
      </c>
      <c r="C2481" s="2">
        <f>HYPERLINK("https://svao.dolgi.msk.ru/account/1760103592/", 1760103592)</f>
        <v>1760103592</v>
      </c>
      <c r="D2481">
        <v>4046.37</v>
      </c>
    </row>
    <row r="2482" spans="1:4" x14ac:dyDescent="0.25">
      <c r="A2482" t="s">
        <v>430</v>
      </c>
      <c r="B2482" t="s">
        <v>112</v>
      </c>
      <c r="C2482" s="2">
        <f>HYPERLINK("https://svao.dolgi.msk.ru/account/1760103613/", 1760103613)</f>
        <v>1760103613</v>
      </c>
      <c r="D2482">
        <v>23904.48</v>
      </c>
    </row>
    <row r="2483" spans="1:4" x14ac:dyDescent="0.25">
      <c r="A2483" t="s">
        <v>430</v>
      </c>
      <c r="B2483" t="s">
        <v>21</v>
      </c>
      <c r="C2483" s="2">
        <f>HYPERLINK("https://svao.dolgi.msk.ru/account/1760103648/", 1760103648)</f>
        <v>1760103648</v>
      </c>
      <c r="D2483">
        <v>2866.62</v>
      </c>
    </row>
    <row r="2484" spans="1:4" x14ac:dyDescent="0.25">
      <c r="A2484" t="s">
        <v>430</v>
      </c>
      <c r="B2484" t="s">
        <v>77</v>
      </c>
      <c r="C2484" s="2">
        <f>HYPERLINK("https://svao.dolgi.msk.ru/account/1760103656/", 1760103656)</f>
        <v>1760103656</v>
      </c>
      <c r="D2484">
        <v>18925.509999999998</v>
      </c>
    </row>
    <row r="2485" spans="1:4" x14ac:dyDescent="0.25">
      <c r="A2485" t="s">
        <v>430</v>
      </c>
      <c r="B2485" t="s">
        <v>23</v>
      </c>
      <c r="C2485" s="2">
        <f>HYPERLINK("https://svao.dolgi.msk.ru/account/1760103728/", 1760103728)</f>
        <v>1760103728</v>
      </c>
      <c r="D2485">
        <v>5721.45</v>
      </c>
    </row>
    <row r="2486" spans="1:4" x14ac:dyDescent="0.25">
      <c r="A2486" t="s">
        <v>430</v>
      </c>
      <c r="B2486" t="s">
        <v>24</v>
      </c>
      <c r="C2486" s="2">
        <f>HYPERLINK("https://svao.dolgi.msk.ru/account/1760103787/", 1760103787)</f>
        <v>1760103787</v>
      </c>
      <c r="D2486">
        <v>4558.79</v>
      </c>
    </row>
    <row r="2487" spans="1:4" x14ac:dyDescent="0.25">
      <c r="A2487" t="s">
        <v>430</v>
      </c>
      <c r="B2487" t="s">
        <v>95</v>
      </c>
      <c r="C2487" s="2">
        <f>HYPERLINK("https://svao.dolgi.msk.ru/account/1760103816/", 1760103816)</f>
        <v>1760103816</v>
      </c>
      <c r="D2487">
        <v>3421.63</v>
      </c>
    </row>
    <row r="2488" spans="1:4" x14ac:dyDescent="0.25">
      <c r="A2488" t="s">
        <v>430</v>
      </c>
      <c r="B2488" t="s">
        <v>131</v>
      </c>
      <c r="C2488" s="2">
        <f>HYPERLINK("https://svao.dolgi.msk.ru/account/1760103824/", 1760103824)</f>
        <v>1760103824</v>
      </c>
      <c r="D2488">
        <v>349352.73</v>
      </c>
    </row>
    <row r="2489" spans="1:4" x14ac:dyDescent="0.25">
      <c r="A2489" t="s">
        <v>430</v>
      </c>
      <c r="B2489" t="s">
        <v>125</v>
      </c>
      <c r="C2489" s="2">
        <f>HYPERLINK("https://svao.dolgi.msk.ru/account/1760103832/", 1760103832)</f>
        <v>1760103832</v>
      </c>
      <c r="D2489">
        <v>3241.82</v>
      </c>
    </row>
    <row r="2490" spans="1:4" x14ac:dyDescent="0.25">
      <c r="A2490" t="s">
        <v>430</v>
      </c>
      <c r="B2490" t="s">
        <v>120</v>
      </c>
      <c r="C2490" s="2">
        <f>HYPERLINK("https://svao.dolgi.msk.ru/account/1760103912/", 1760103912)</f>
        <v>1760103912</v>
      </c>
      <c r="D2490">
        <v>3824.23</v>
      </c>
    </row>
    <row r="2491" spans="1:4" x14ac:dyDescent="0.25">
      <c r="A2491" t="s">
        <v>430</v>
      </c>
      <c r="B2491" t="s">
        <v>132</v>
      </c>
      <c r="C2491" s="2">
        <f>HYPERLINK("https://svao.dolgi.msk.ru/account/1760103971/", 1760103971)</f>
        <v>1760103971</v>
      </c>
      <c r="D2491">
        <v>5283.18</v>
      </c>
    </row>
    <row r="2492" spans="1:4" x14ac:dyDescent="0.25">
      <c r="A2492" t="s">
        <v>430</v>
      </c>
      <c r="B2492" t="s">
        <v>243</v>
      </c>
      <c r="C2492" s="2">
        <f>HYPERLINK("https://svao.dolgi.msk.ru/account/1760104069/", 1760104069)</f>
        <v>1760104069</v>
      </c>
      <c r="D2492">
        <v>5332.65</v>
      </c>
    </row>
    <row r="2493" spans="1:4" x14ac:dyDescent="0.25">
      <c r="A2493" t="s">
        <v>430</v>
      </c>
      <c r="B2493" t="s">
        <v>139</v>
      </c>
      <c r="C2493" s="2">
        <f>HYPERLINK("https://svao.dolgi.msk.ru/account/1760104093/", 1760104093)</f>
        <v>1760104093</v>
      </c>
      <c r="D2493">
        <v>4995.3100000000004</v>
      </c>
    </row>
    <row r="2494" spans="1:4" x14ac:dyDescent="0.25">
      <c r="A2494" t="s">
        <v>430</v>
      </c>
      <c r="B2494" t="s">
        <v>29</v>
      </c>
      <c r="C2494" s="2">
        <f>HYPERLINK("https://svao.dolgi.msk.ru/account/1760104114/", 1760104114)</f>
        <v>1760104114</v>
      </c>
      <c r="D2494">
        <v>3175.99</v>
      </c>
    </row>
    <row r="2495" spans="1:4" x14ac:dyDescent="0.25">
      <c r="A2495" t="s">
        <v>430</v>
      </c>
      <c r="B2495" t="s">
        <v>129</v>
      </c>
      <c r="C2495" s="2">
        <f>HYPERLINK("https://svao.dolgi.msk.ru/account/1760104149/", 1760104149)</f>
        <v>1760104149</v>
      </c>
      <c r="D2495">
        <v>1055.2</v>
      </c>
    </row>
    <row r="2496" spans="1:4" x14ac:dyDescent="0.25">
      <c r="A2496" t="s">
        <v>430</v>
      </c>
      <c r="B2496" t="s">
        <v>85</v>
      </c>
      <c r="C2496" s="2">
        <f>HYPERLINK("https://svao.dolgi.msk.ru/account/1760104253/", 1760104253)</f>
        <v>1760104253</v>
      </c>
      <c r="D2496">
        <v>4601.5</v>
      </c>
    </row>
    <row r="2497" spans="1:4" x14ac:dyDescent="0.25">
      <c r="A2497" t="s">
        <v>430</v>
      </c>
      <c r="B2497" t="s">
        <v>33</v>
      </c>
      <c r="C2497" s="2">
        <f>HYPERLINK("https://svao.dolgi.msk.ru/account/1760104261/", 1760104261)</f>
        <v>1760104261</v>
      </c>
      <c r="D2497">
        <v>4909.6899999999996</v>
      </c>
    </row>
    <row r="2498" spans="1:4" x14ac:dyDescent="0.25">
      <c r="A2498" t="s">
        <v>430</v>
      </c>
      <c r="B2498" t="s">
        <v>34</v>
      </c>
      <c r="C2498" s="2">
        <f>HYPERLINK("https://svao.dolgi.msk.ru/account/1760104288/", 1760104288)</f>
        <v>1760104288</v>
      </c>
      <c r="D2498">
        <v>4104.13</v>
      </c>
    </row>
    <row r="2499" spans="1:4" x14ac:dyDescent="0.25">
      <c r="A2499" t="s">
        <v>430</v>
      </c>
      <c r="B2499" t="s">
        <v>99</v>
      </c>
      <c r="C2499" s="2">
        <f>HYPERLINK("https://svao.dolgi.msk.ru/account/1760104309/", 1760104309)</f>
        <v>1760104309</v>
      </c>
      <c r="D2499">
        <v>309</v>
      </c>
    </row>
    <row r="2500" spans="1:4" x14ac:dyDescent="0.25">
      <c r="A2500" t="s">
        <v>430</v>
      </c>
      <c r="B2500" t="s">
        <v>246</v>
      </c>
      <c r="C2500" s="2">
        <f>HYPERLINK("https://svao.dolgi.msk.ru/account/1760104421/", 1760104421)</f>
        <v>1760104421</v>
      </c>
      <c r="D2500">
        <v>32431.71</v>
      </c>
    </row>
    <row r="2501" spans="1:4" x14ac:dyDescent="0.25">
      <c r="A2501" t="s">
        <v>430</v>
      </c>
      <c r="B2501" t="s">
        <v>40</v>
      </c>
      <c r="C2501" s="2">
        <f>HYPERLINK("https://svao.dolgi.msk.ru/account/1760104448/", 1760104448)</f>
        <v>1760104448</v>
      </c>
      <c r="D2501">
        <v>2497.59</v>
      </c>
    </row>
    <row r="2502" spans="1:4" x14ac:dyDescent="0.25">
      <c r="A2502" t="s">
        <v>430</v>
      </c>
      <c r="B2502" t="s">
        <v>40</v>
      </c>
      <c r="C2502" s="2">
        <f>HYPERLINK("https://svao.dolgi.msk.ru/account/1760255991/", 1760255991)</f>
        <v>1760255991</v>
      </c>
      <c r="D2502">
        <v>23108.21</v>
      </c>
    </row>
    <row r="2503" spans="1:4" x14ac:dyDescent="0.25">
      <c r="A2503" t="s">
        <v>430</v>
      </c>
      <c r="B2503" t="s">
        <v>40</v>
      </c>
      <c r="C2503" s="2">
        <f>HYPERLINK("https://svao.dolgi.msk.ru/account/1761793927/", 1761793927)</f>
        <v>1761793927</v>
      </c>
      <c r="D2503">
        <v>4010.2</v>
      </c>
    </row>
    <row r="2504" spans="1:4" x14ac:dyDescent="0.25">
      <c r="A2504" t="s">
        <v>430</v>
      </c>
      <c r="B2504" t="s">
        <v>247</v>
      </c>
      <c r="C2504" s="2">
        <f>HYPERLINK("https://svao.dolgi.msk.ru/account/1760104528/", 1760104528)</f>
        <v>1760104528</v>
      </c>
      <c r="D2504">
        <v>2980.55</v>
      </c>
    </row>
    <row r="2505" spans="1:4" x14ac:dyDescent="0.25">
      <c r="A2505" t="s">
        <v>430</v>
      </c>
      <c r="B2505" t="s">
        <v>301</v>
      </c>
      <c r="C2505" s="2">
        <f>HYPERLINK("https://svao.dolgi.msk.ru/account/1760104595/", 1760104595)</f>
        <v>1760104595</v>
      </c>
      <c r="D2505">
        <v>8293.5400000000009</v>
      </c>
    </row>
    <row r="2506" spans="1:4" x14ac:dyDescent="0.25">
      <c r="A2506" t="s">
        <v>430</v>
      </c>
      <c r="B2506" t="s">
        <v>46</v>
      </c>
      <c r="C2506" s="2">
        <f>HYPERLINK("https://svao.dolgi.msk.ru/account/1761768182/", 1761768182)</f>
        <v>1761768182</v>
      </c>
      <c r="D2506">
        <v>82656.11</v>
      </c>
    </row>
    <row r="2507" spans="1:4" x14ac:dyDescent="0.25">
      <c r="A2507" t="s">
        <v>430</v>
      </c>
      <c r="B2507" t="s">
        <v>145</v>
      </c>
      <c r="C2507" s="2">
        <f>HYPERLINK("https://svao.dolgi.msk.ru/account/1760104624/", 1760104624)</f>
        <v>1760104624</v>
      </c>
      <c r="D2507">
        <v>4447.62</v>
      </c>
    </row>
    <row r="2508" spans="1:4" x14ac:dyDescent="0.25">
      <c r="A2508" t="s">
        <v>430</v>
      </c>
      <c r="B2508" t="s">
        <v>339</v>
      </c>
      <c r="C2508" s="2">
        <f>HYPERLINK("https://svao.dolgi.msk.ru/account/1760104659/", 1760104659)</f>
        <v>1760104659</v>
      </c>
      <c r="D2508">
        <v>3234.96</v>
      </c>
    </row>
    <row r="2509" spans="1:4" x14ac:dyDescent="0.25">
      <c r="A2509" t="s">
        <v>430</v>
      </c>
      <c r="B2509" t="s">
        <v>47</v>
      </c>
      <c r="C2509" s="2">
        <f>HYPERLINK("https://svao.dolgi.msk.ru/account/1760104667/", 1760104667)</f>
        <v>1760104667</v>
      </c>
      <c r="D2509">
        <v>4008.76</v>
      </c>
    </row>
    <row r="2510" spans="1:4" x14ac:dyDescent="0.25">
      <c r="A2510" t="s">
        <v>430</v>
      </c>
      <c r="B2510" t="s">
        <v>49</v>
      </c>
      <c r="C2510" s="2">
        <f>HYPERLINK("https://svao.dolgi.msk.ru/account/1760104704/", 1760104704)</f>
        <v>1760104704</v>
      </c>
      <c r="D2510">
        <v>3274.98</v>
      </c>
    </row>
    <row r="2511" spans="1:4" x14ac:dyDescent="0.25">
      <c r="A2511" t="s">
        <v>430</v>
      </c>
      <c r="B2511" t="s">
        <v>252</v>
      </c>
      <c r="C2511" s="2">
        <f>HYPERLINK("https://svao.dolgi.msk.ru/account/1760104755/", 1760104755)</f>
        <v>1760104755</v>
      </c>
      <c r="D2511">
        <v>5104.03</v>
      </c>
    </row>
    <row r="2512" spans="1:4" x14ac:dyDescent="0.25">
      <c r="A2512" t="s">
        <v>430</v>
      </c>
      <c r="B2512" t="s">
        <v>50</v>
      </c>
      <c r="C2512" s="2">
        <f>HYPERLINK("https://svao.dolgi.msk.ru/account/1760104771/", 1760104771)</f>
        <v>1760104771</v>
      </c>
      <c r="D2512">
        <v>4294.8999999999996</v>
      </c>
    </row>
    <row r="2513" spans="1:4" x14ac:dyDescent="0.25">
      <c r="A2513" t="s">
        <v>430</v>
      </c>
      <c r="B2513" t="s">
        <v>331</v>
      </c>
      <c r="C2513" s="2">
        <f>HYPERLINK("https://svao.dolgi.msk.ru/account/1760104827/", 1760104827)</f>
        <v>1760104827</v>
      </c>
      <c r="D2513">
        <v>3932.02</v>
      </c>
    </row>
    <row r="2514" spans="1:4" x14ac:dyDescent="0.25">
      <c r="A2514" t="s">
        <v>430</v>
      </c>
      <c r="B2514" t="s">
        <v>148</v>
      </c>
      <c r="C2514" s="2">
        <f>HYPERLINK("https://svao.dolgi.msk.ru/account/1760104851/", 1760104851)</f>
        <v>1760104851</v>
      </c>
      <c r="D2514">
        <v>1536.4</v>
      </c>
    </row>
    <row r="2515" spans="1:4" x14ac:dyDescent="0.25">
      <c r="A2515" t="s">
        <v>430</v>
      </c>
      <c r="B2515" t="s">
        <v>307</v>
      </c>
      <c r="C2515" s="2">
        <f>HYPERLINK("https://svao.dolgi.msk.ru/account/1760104894/", 1760104894)</f>
        <v>1760104894</v>
      </c>
      <c r="D2515">
        <v>5575.07</v>
      </c>
    </row>
    <row r="2516" spans="1:4" x14ac:dyDescent="0.25">
      <c r="A2516" t="s">
        <v>430</v>
      </c>
      <c r="B2516" t="s">
        <v>150</v>
      </c>
      <c r="C2516" s="2">
        <f>HYPERLINK("https://svao.dolgi.msk.ru/account/1760104907/", 1760104907)</f>
        <v>1760104907</v>
      </c>
      <c r="D2516">
        <v>7926.32</v>
      </c>
    </row>
    <row r="2517" spans="1:4" x14ac:dyDescent="0.25">
      <c r="A2517" t="s">
        <v>430</v>
      </c>
      <c r="B2517" t="s">
        <v>317</v>
      </c>
      <c r="C2517" s="2">
        <f>HYPERLINK("https://svao.dolgi.msk.ru/account/1760104958/", 1760104958)</f>
        <v>1760104958</v>
      </c>
      <c r="D2517">
        <v>6243.13</v>
      </c>
    </row>
    <row r="2518" spans="1:4" x14ac:dyDescent="0.25">
      <c r="A2518" t="s">
        <v>430</v>
      </c>
      <c r="B2518" t="s">
        <v>53</v>
      </c>
      <c r="C2518" s="2">
        <f>HYPERLINK("https://svao.dolgi.msk.ru/account/1760104966/", 1760104966)</f>
        <v>1760104966</v>
      </c>
      <c r="D2518">
        <v>2788.66</v>
      </c>
    </row>
    <row r="2519" spans="1:4" x14ac:dyDescent="0.25">
      <c r="A2519" t="s">
        <v>430</v>
      </c>
      <c r="B2519" t="s">
        <v>309</v>
      </c>
      <c r="C2519" s="2">
        <f>HYPERLINK("https://svao.dolgi.msk.ru/account/1760105037/", 1760105037)</f>
        <v>1760105037</v>
      </c>
      <c r="D2519">
        <v>6796.08</v>
      </c>
    </row>
    <row r="2520" spans="1:4" x14ac:dyDescent="0.25">
      <c r="A2520" t="s">
        <v>430</v>
      </c>
      <c r="B2520" t="s">
        <v>55</v>
      </c>
      <c r="C2520" s="2">
        <f>HYPERLINK("https://svao.dolgi.msk.ru/account/1760105088/", 1760105088)</f>
        <v>1760105088</v>
      </c>
      <c r="D2520">
        <v>2338.9699999999998</v>
      </c>
    </row>
    <row r="2521" spans="1:4" x14ac:dyDescent="0.25">
      <c r="A2521" t="s">
        <v>430</v>
      </c>
      <c r="B2521" t="s">
        <v>56</v>
      </c>
      <c r="C2521" s="2">
        <f>HYPERLINK("https://svao.dolgi.msk.ru/account/1760105133/", 1760105133)</f>
        <v>1760105133</v>
      </c>
      <c r="D2521">
        <v>2735.14</v>
      </c>
    </row>
    <row r="2522" spans="1:4" x14ac:dyDescent="0.25">
      <c r="A2522" t="s">
        <v>430</v>
      </c>
      <c r="B2522" t="s">
        <v>154</v>
      </c>
      <c r="C2522" s="2">
        <f>HYPERLINK("https://svao.dolgi.msk.ru/account/1760105141/", 1760105141)</f>
        <v>1760105141</v>
      </c>
      <c r="D2522">
        <v>5340.18</v>
      </c>
    </row>
    <row r="2523" spans="1:4" x14ac:dyDescent="0.25">
      <c r="A2523" t="s">
        <v>430</v>
      </c>
      <c r="B2523" t="s">
        <v>328</v>
      </c>
      <c r="C2523" s="2">
        <f>HYPERLINK("https://svao.dolgi.msk.ru/account/1760105168/", 1760105168)</f>
        <v>1760105168</v>
      </c>
      <c r="D2523">
        <v>2558.34</v>
      </c>
    </row>
    <row r="2524" spans="1:4" x14ac:dyDescent="0.25">
      <c r="A2524" t="s">
        <v>430</v>
      </c>
      <c r="B2524" t="s">
        <v>157</v>
      </c>
      <c r="C2524" s="2">
        <f>HYPERLINK("https://svao.dolgi.msk.ru/account/1760105213/", 1760105213)</f>
        <v>1760105213</v>
      </c>
      <c r="D2524">
        <v>10730.27</v>
      </c>
    </row>
    <row r="2525" spans="1:4" x14ac:dyDescent="0.25">
      <c r="A2525" t="s">
        <v>430</v>
      </c>
      <c r="B2525" t="s">
        <v>429</v>
      </c>
      <c r="C2525" s="2">
        <f>HYPERLINK("https://svao.dolgi.msk.ru/account/1760105221/", 1760105221)</f>
        <v>1760105221</v>
      </c>
      <c r="D2525">
        <v>3796.89</v>
      </c>
    </row>
    <row r="2526" spans="1:4" x14ac:dyDescent="0.25">
      <c r="A2526" t="s">
        <v>430</v>
      </c>
      <c r="B2526" t="s">
        <v>341</v>
      </c>
      <c r="C2526" s="2">
        <f>HYPERLINK("https://svao.dolgi.msk.ru/account/1760105256/", 1760105256)</f>
        <v>1760105256</v>
      </c>
      <c r="D2526">
        <v>11297.19</v>
      </c>
    </row>
    <row r="2527" spans="1:4" x14ac:dyDescent="0.25">
      <c r="A2527" t="s">
        <v>430</v>
      </c>
      <c r="B2527" t="s">
        <v>58</v>
      </c>
      <c r="C2527" s="2">
        <f>HYPERLINK("https://svao.dolgi.msk.ru/account/1760105299/", 1760105299)</f>
        <v>1760105299</v>
      </c>
      <c r="D2527">
        <v>4954.51</v>
      </c>
    </row>
    <row r="2528" spans="1:4" x14ac:dyDescent="0.25">
      <c r="A2528" t="s">
        <v>430</v>
      </c>
      <c r="B2528" t="s">
        <v>299</v>
      </c>
      <c r="C2528" s="2">
        <f>HYPERLINK("https://svao.dolgi.msk.ru/account/1760105301/", 1760105301)</f>
        <v>1760105301</v>
      </c>
      <c r="D2528">
        <v>5214.88</v>
      </c>
    </row>
    <row r="2529" spans="1:4" x14ac:dyDescent="0.25">
      <c r="A2529" t="s">
        <v>430</v>
      </c>
      <c r="B2529" t="s">
        <v>59</v>
      </c>
      <c r="C2529" s="2">
        <f>HYPERLINK("https://svao.dolgi.msk.ru/account/1760105336/", 1760105336)</f>
        <v>1760105336</v>
      </c>
      <c r="D2529">
        <v>5943.55</v>
      </c>
    </row>
    <row r="2530" spans="1:4" x14ac:dyDescent="0.25">
      <c r="A2530" t="s">
        <v>430</v>
      </c>
      <c r="B2530" t="s">
        <v>378</v>
      </c>
      <c r="C2530" s="2">
        <f>HYPERLINK("https://svao.dolgi.msk.ru/account/1760105387/", 1760105387)</f>
        <v>1760105387</v>
      </c>
      <c r="D2530">
        <v>4751.18</v>
      </c>
    </row>
    <row r="2531" spans="1:4" x14ac:dyDescent="0.25">
      <c r="A2531" t="s">
        <v>430</v>
      </c>
      <c r="B2531" t="s">
        <v>343</v>
      </c>
      <c r="C2531" s="2">
        <f>HYPERLINK("https://svao.dolgi.msk.ru/account/1760105408/", 1760105408)</f>
        <v>1760105408</v>
      </c>
      <c r="D2531">
        <v>125098.91</v>
      </c>
    </row>
    <row r="2532" spans="1:4" x14ac:dyDescent="0.25">
      <c r="A2532" t="s">
        <v>430</v>
      </c>
      <c r="B2532" t="s">
        <v>63</v>
      </c>
      <c r="C2532" s="2">
        <f>HYPERLINK("https://svao.dolgi.msk.ru/account/1760105483/", 1760105483)</f>
        <v>1760105483</v>
      </c>
      <c r="D2532">
        <v>6544.39</v>
      </c>
    </row>
    <row r="2533" spans="1:4" x14ac:dyDescent="0.25">
      <c r="A2533" t="s">
        <v>430</v>
      </c>
      <c r="B2533" t="s">
        <v>161</v>
      </c>
      <c r="C2533" s="2">
        <f>HYPERLINK("https://svao.dolgi.msk.ru/account/1760105547/", 1760105547)</f>
        <v>1760105547</v>
      </c>
      <c r="D2533">
        <v>6356.08</v>
      </c>
    </row>
    <row r="2534" spans="1:4" x14ac:dyDescent="0.25">
      <c r="A2534" t="s">
        <v>430</v>
      </c>
      <c r="B2534" t="s">
        <v>379</v>
      </c>
      <c r="C2534" s="2">
        <f>HYPERLINK("https://svao.dolgi.msk.ru/account/1760105571/", 1760105571)</f>
        <v>1760105571</v>
      </c>
      <c r="D2534">
        <v>4047.53</v>
      </c>
    </row>
    <row r="2535" spans="1:4" x14ac:dyDescent="0.25">
      <c r="A2535" t="s">
        <v>430</v>
      </c>
      <c r="B2535" t="s">
        <v>416</v>
      </c>
      <c r="C2535" s="2">
        <f>HYPERLINK("https://svao.dolgi.msk.ru/account/1760105758/", 1760105758)</f>
        <v>1760105758</v>
      </c>
      <c r="D2535">
        <v>4035.33</v>
      </c>
    </row>
    <row r="2536" spans="1:4" x14ac:dyDescent="0.25">
      <c r="A2536" t="s">
        <v>430</v>
      </c>
      <c r="B2536" t="s">
        <v>261</v>
      </c>
      <c r="C2536" s="2">
        <f>HYPERLINK("https://svao.dolgi.msk.ru/account/1760105774/", 1760105774)</f>
        <v>1760105774</v>
      </c>
      <c r="D2536">
        <v>1177.54</v>
      </c>
    </row>
    <row r="2537" spans="1:4" x14ac:dyDescent="0.25">
      <c r="A2537" t="s">
        <v>430</v>
      </c>
      <c r="B2537" t="s">
        <v>262</v>
      </c>
      <c r="C2537" s="2">
        <f>HYPERLINK("https://svao.dolgi.msk.ru/account/1760105782/", 1760105782)</f>
        <v>1760105782</v>
      </c>
      <c r="D2537">
        <v>300075.2</v>
      </c>
    </row>
    <row r="2538" spans="1:4" x14ac:dyDescent="0.25">
      <c r="A2538" t="s">
        <v>430</v>
      </c>
      <c r="B2538" t="s">
        <v>348</v>
      </c>
      <c r="C2538" s="2">
        <f>HYPERLINK("https://svao.dolgi.msk.ru/account/1760105934/", 1760105934)</f>
        <v>1760105934</v>
      </c>
      <c r="D2538">
        <v>4316.3999999999996</v>
      </c>
    </row>
    <row r="2539" spans="1:4" x14ac:dyDescent="0.25">
      <c r="A2539" t="s">
        <v>430</v>
      </c>
      <c r="B2539" t="s">
        <v>263</v>
      </c>
      <c r="C2539" s="2">
        <f>HYPERLINK("https://svao.dolgi.msk.ru/account/1760105969/", 1760105969)</f>
        <v>1760105969</v>
      </c>
      <c r="D2539">
        <v>6869.82</v>
      </c>
    </row>
    <row r="2540" spans="1:4" x14ac:dyDescent="0.25">
      <c r="A2540" t="s">
        <v>430</v>
      </c>
      <c r="B2540" t="s">
        <v>431</v>
      </c>
      <c r="C2540" s="2">
        <f>HYPERLINK("https://svao.dolgi.msk.ru/account/1760106048/", 1760106048)</f>
        <v>1760106048</v>
      </c>
      <c r="D2540">
        <v>4620.0200000000004</v>
      </c>
    </row>
    <row r="2541" spans="1:4" x14ac:dyDescent="0.25">
      <c r="A2541" t="s">
        <v>430</v>
      </c>
      <c r="B2541" t="s">
        <v>350</v>
      </c>
      <c r="C2541" s="2">
        <f>HYPERLINK("https://svao.dolgi.msk.ru/account/1760106128/", 1760106128)</f>
        <v>1760106128</v>
      </c>
      <c r="D2541">
        <v>6285.82</v>
      </c>
    </row>
    <row r="2542" spans="1:4" x14ac:dyDescent="0.25">
      <c r="A2542" t="s">
        <v>430</v>
      </c>
      <c r="B2542" t="s">
        <v>351</v>
      </c>
      <c r="C2542" s="2">
        <f>HYPERLINK("https://svao.dolgi.msk.ru/account/1760106136/", 1760106136)</f>
        <v>1760106136</v>
      </c>
      <c r="D2542">
        <v>4482.71</v>
      </c>
    </row>
    <row r="2543" spans="1:4" x14ac:dyDescent="0.25">
      <c r="A2543" t="s">
        <v>430</v>
      </c>
      <c r="B2543" t="s">
        <v>432</v>
      </c>
      <c r="C2543" s="2">
        <f>HYPERLINK("https://svao.dolgi.msk.ru/account/1760106144/", 1760106144)</f>
        <v>1760106144</v>
      </c>
      <c r="D2543">
        <v>4089.37</v>
      </c>
    </row>
    <row r="2544" spans="1:4" x14ac:dyDescent="0.25">
      <c r="A2544" t="s">
        <v>430</v>
      </c>
      <c r="B2544" t="s">
        <v>420</v>
      </c>
      <c r="C2544" s="2">
        <f>HYPERLINK("https://svao.dolgi.msk.ru/account/1760106187/", 1760106187)</f>
        <v>1760106187</v>
      </c>
      <c r="D2544">
        <v>6588.19</v>
      </c>
    </row>
    <row r="2545" spans="1:4" x14ac:dyDescent="0.25">
      <c r="A2545" t="s">
        <v>430</v>
      </c>
      <c r="B2545" t="s">
        <v>267</v>
      </c>
      <c r="C2545" s="2">
        <f>HYPERLINK("https://svao.dolgi.msk.ru/account/1760106208/", 1760106208)</f>
        <v>1760106208</v>
      </c>
      <c r="D2545">
        <v>9072.76</v>
      </c>
    </row>
    <row r="2546" spans="1:4" x14ac:dyDescent="0.25">
      <c r="A2546" t="s">
        <v>430</v>
      </c>
      <c r="B2546" t="s">
        <v>175</v>
      </c>
      <c r="C2546" s="2">
        <f>HYPERLINK("https://svao.dolgi.msk.ru/account/1760106232/", 1760106232)</f>
        <v>1760106232</v>
      </c>
      <c r="D2546">
        <v>4302.5</v>
      </c>
    </row>
    <row r="2547" spans="1:4" x14ac:dyDescent="0.25">
      <c r="A2547" t="s">
        <v>430</v>
      </c>
      <c r="B2547" t="s">
        <v>176</v>
      </c>
      <c r="C2547" s="2">
        <f>HYPERLINK("https://svao.dolgi.msk.ru/account/1760106267/", 1760106267)</f>
        <v>1760106267</v>
      </c>
      <c r="D2547">
        <v>2280.9</v>
      </c>
    </row>
    <row r="2548" spans="1:4" x14ac:dyDescent="0.25">
      <c r="A2548" t="s">
        <v>430</v>
      </c>
      <c r="B2548" t="s">
        <v>177</v>
      </c>
      <c r="C2548" s="2">
        <f>HYPERLINK("https://svao.dolgi.msk.ru/account/1760106275/", 1760106275)</f>
        <v>1760106275</v>
      </c>
      <c r="D2548">
        <v>2662.51</v>
      </c>
    </row>
    <row r="2549" spans="1:4" x14ac:dyDescent="0.25">
      <c r="A2549" t="s">
        <v>430</v>
      </c>
      <c r="B2549" t="s">
        <v>270</v>
      </c>
      <c r="C2549" s="2">
        <f>HYPERLINK("https://svao.dolgi.msk.ru/account/1760106339/", 1760106339)</f>
        <v>1760106339</v>
      </c>
      <c r="D2549">
        <v>2084.77</v>
      </c>
    </row>
    <row r="2550" spans="1:4" x14ac:dyDescent="0.25">
      <c r="A2550" t="s">
        <v>430</v>
      </c>
      <c r="B2550" t="s">
        <v>178</v>
      </c>
      <c r="C2550" s="2">
        <f>HYPERLINK("https://svao.dolgi.msk.ru/account/1760106363/", 1760106363)</f>
        <v>1760106363</v>
      </c>
      <c r="D2550">
        <v>1840.89</v>
      </c>
    </row>
    <row r="2551" spans="1:4" x14ac:dyDescent="0.25">
      <c r="A2551" t="s">
        <v>430</v>
      </c>
      <c r="B2551" t="s">
        <v>181</v>
      </c>
      <c r="C2551" s="2">
        <f>HYPERLINK("https://svao.dolgi.msk.ru/account/1760106443/", 1760106443)</f>
        <v>1760106443</v>
      </c>
      <c r="D2551">
        <v>4042.76</v>
      </c>
    </row>
    <row r="2552" spans="1:4" x14ac:dyDescent="0.25">
      <c r="A2552" t="s">
        <v>430</v>
      </c>
      <c r="B2552" t="s">
        <v>355</v>
      </c>
      <c r="C2552" s="2">
        <f>HYPERLINK("https://svao.dolgi.msk.ru/account/1760106523/", 1760106523)</f>
        <v>1760106523</v>
      </c>
      <c r="D2552">
        <v>6391.45</v>
      </c>
    </row>
    <row r="2553" spans="1:4" x14ac:dyDescent="0.25">
      <c r="A2553" t="s">
        <v>430</v>
      </c>
      <c r="B2553" t="s">
        <v>421</v>
      </c>
      <c r="C2553" s="2">
        <f>HYPERLINK("https://svao.dolgi.msk.ru/account/1760106558/", 1760106558)</f>
        <v>1760106558</v>
      </c>
      <c r="D2553">
        <v>722.75</v>
      </c>
    </row>
    <row r="2554" spans="1:4" x14ac:dyDescent="0.25">
      <c r="A2554" t="s">
        <v>430</v>
      </c>
      <c r="B2554" t="s">
        <v>357</v>
      </c>
      <c r="C2554" s="2">
        <f>HYPERLINK("https://svao.dolgi.msk.ru/account/1760106574/", 1760106574)</f>
        <v>1760106574</v>
      </c>
      <c r="D2554">
        <v>3455.37</v>
      </c>
    </row>
    <row r="2555" spans="1:4" x14ac:dyDescent="0.25">
      <c r="A2555" t="s">
        <v>433</v>
      </c>
      <c r="B2555" t="s">
        <v>101</v>
      </c>
      <c r="C2555" s="2">
        <f>HYPERLINK("https://svao.dolgi.msk.ru/account/1760099845/", 1760099845)</f>
        <v>1760099845</v>
      </c>
      <c r="D2555">
        <v>2369.0100000000002</v>
      </c>
    </row>
    <row r="2556" spans="1:4" x14ac:dyDescent="0.25">
      <c r="A2556" t="s">
        <v>433</v>
      </c>
      <c r="B2556" t="s">
        <v>75</v>
      </c>
      <c r="C2556" s="2">
        <f>HYPERLINK("https://svao.dolgi.msk.ru/account/1760099968/", 1760099968)</f>
        <v>1760099968</v>
      </c>
      <c r="D2556">
        <v>2211.1999999999998</v>
      </c>
    </row>
    <row r="2557" spans="1:4" x14ac:dyDescent="0.25">
      <c r="A2557" t="s">
        <v>433</v>
      </c>
      <c r="B2557" t="s">
        <v>13</v>
      </c>
      <c r="C2557" s="2">
        <f>HYPERLINK("https://svao.dolgi.msk.ru/account/1760100025/", 1760100025)</f>
        <v>1760100025</v>
      </c>
      <c r="D2557">
        <v>3635.95</v>
      </c>
    </row>
    <row r="2558" spans="1:4" x14ac:dyDescent="0.25">
      <c r="A2558" t="s">
        <v>433</v>
      </c>
      <c r="B2558" t="s">
        <v>106</v>
      </c>
      <c r="C2558" s="2">
        <f>HYPERLINK("https://svao.dolgi.msk.ru/account/1760100041/", 1760100041)</f>
        <v>1760100041</v>
      </c>
      <c r="D2558">
        <v>7630.42</v>
      </c>
    </row>
    <row r="2559" spans="1:4" x14ac:dyDescent="0.25">
      <c r="A2559" t="s">
        <v>433</v>
      </c>
      <c r="B2559" t="s">
        <v>15</v>
      </c>
      <c r="C2559" s="2">
        <f>HYPERLINK("https://svao.dolgi.msk.ru/account/1760100076/", 1760100076)</f>
        <v>1760100076</v>
      </c>
      <c r="D2559">
        <v>1130.19</v>
      </c>
    </row>
    <row r="2560" spans="1:4" x14ac:dyDescent="0.25">
      <c r="A2560" t="s">
        <v>433</v>
      </c>
      <c r="B2560" t="s">
        <v>108</v>
      </c>
      <c r="C2560" s="2">
        <f>HYPERLINK("https://svao.dolgi.msk.ru/account/1760100084/", 1760100084)</f>
        <v>1760100084</v>
      </c>
      <c r="D2560">
        <v>4790.5600000000004</v>
      </c>
    </row>
    <row r="2561" spans="1:4" x14ac:dyDescent="0.25">
      <c r="A2561" t="s">
        <v>433</v>
      </c>
      <c r="B2561" t="s">
        <v>18</v>
      </c>
      <c r="C2561" s="2">
        <f>HYPERLINK("https://svao.dolgi.msk.ru/account/1760100113/", 1760100113)</f>
        <v>1760100113</v>
      </c>
      <c r="D2561">
        <v>149623.89000000001</v>
      </c>
    </row>
    <row r="2562" spans="1:4" x14ac:dyDescent="0.25">
      <c r="A2562" t="s">
        <v>433</v>
      </c>
      <c r="B2562" t="s">
        <v>109</v>
      </c>
      <c r="C2562" s="2">
        <f>HYPERLINK("https://svao.dolgi.msk.ru/account/1760100148/", 1760100148)</f>
        <v>1760100148</v>
      </c>
      <c r="D2562">
        <v>5901.66</v>
      </c>
    </row>
    <row r="2563" spans="1:4" x14ac:dyDescent="0.25">
      <c r="A2563" t="s">
        <v>433</v>
      </c>
      <c r="B2563" t="s">
        <v>110</v>
      </c>
      <c r="C2563" s="2">
        <f>HYPERLINK("https://svao.dolgi.msk.ru/account/1760100156/", 1760100156)</f>
        <v>1760100156</v>
      </c>
      <c r="D2563">
        <v>11283.87</v>
      </c>
    </row>
    <row r="2564" spans="1:4" x14ac:dyDescent="0.25">
      <c r="A2564" t="s">
        <v>433</v>
      </c>
      <c r="B2564" t="s">
        <v>93</v>
      </c>
      <c r="C2564" s="2">
        <f>HYPERLINK("https://svao.dolgi.msk.ru/account/1760100201/", 1760100201)</f>
        <v>1760100201</v>
      </c>
      <c r="D2564">
        <v>8024.74</v>
      </c>
    </row>
    <row r="2565" spans="1:4" x14ac:dyDescent="0.25">
      <c r="A2565" t="s">
        <v>433</v>
      </c>
      <c r="B2565" t="s">
        <v>23</v>
      </c>
      <c r="C2565" s="2">
        <f>HYPERLINK("https://svao.dolgi.msk.ru/account/1760100332/", 1760100332)</f>
        <v>1760100332</v>
      </c>
      <c r="D2565">
        <v>5297.77</v>
      </c>
    </row>
    <row r="2566" spans="1:4" x14ac:dyDescent="0.25">
      <c r="A2566" t="s">
        <v>433</v>
      </c>
      <c r="B2566" t="s">
        <v>320</v>
      </c>
      <c r="C2566" s="2">
        <f>HYPERLINK("https://svao.dolgi.msk.ru/account/1760100383/", 1760100383)</f>
        <v>1760100383</v>
      </c>
      <c r="D2566">
        <v>4447</v>
      </c>
    </row>
    <row r="2567" spans="1:4" x14ac:dyDescent="0.25">
      <c r="A2567" t="s">
        <v>433</v>
      </c>
      <c r="B2567" t="s">
        <v>131</v>
      </c>
      <c r="C2567" s="2">
        <f>HYPERLINK("https://svao.dolgi.msk.ru/account/1760100447/", 1760100447)</f>
        <v>1760100447</v>
      </c>
      <c r="D2567">
        <v>140840.89000000001</v>
      </c>
    </row>
    <row r="2568" spans="1:4" x14ac:dyDescent="0.25">
      <c r="A2568" t="s">
        <v>433</v>
      </c>
      <c r="B2568" t="s">
        <v>80</v>
      </c>
      <c r="C2568" s="2">
        <f>HYPERLINK("https://svao.dolgi.msk.ru/account/1760100471/", 1760100471)</f>
        <v>1760100471</v>
      </c>
      <c r="D2568">
        <v>5057.09</v>
      </c>
    </row>
    <row r="2569" spans="1:4" x14ac:dyDescent="0.25">
      <c r="A2569" t="s">
        <v>433</v>
      </c>
      <c r="B2569" t="s">
        <v>118</v>
      </c>
      <c r="C2569" s="2">
        <f>HYPERLINK("https://svao.dolgi.msk.ru/account/1760100498/", 1760100498)</f>
        <v>1760100498</v>
      </c>
      <c r="D2569">
        <v>1950.88</v>
      </c>
    </row>
    <row r="2570" spans="1:4" x14ac:dyDescent="0.25">
      <c r="A2570" t="s">
        <v>433</v>
      </c>
      <c r="B2570" t="s">
        <v>127</v>
      </c>
      <c r="C2570" s="2">
        <f>HYPERLINK("https://svao.dolgi.msk.ru/account/1760100519/", 1760100519)</f>
        <v>1760100519</v>
      </c>
      <c r="D2570">
        <v>4656.25</v>
      </c>
    </row>
    <row r="2571" spans="1:4" x14ac:dyDescent="0.25">
      <c r="A2571" t="s">
        <v>433</v>
      </c>
      <c r="B2571" t="s">
        <v>128</v>
      </c>
      <c r="C2571" s="2">
        <f>HYPERLINK("https://svao.dolgi.msk.ru/account/1760100578/", 1760100578)</f>
        <v>1760100578</v>
      </c>
      <c r="D2571">
        <v>102595.6</v>
      </c>
    </row>
    <row r="2572" spans="1:4" x14ac:dyDescent="0.25">
      <c r="A2572" t="s">
        <v>433</v>
      </c>
      <c r="B2572" t="s">
        <v>83</v>
      </c>
      <c r="C2572" s="2">
        <f>HYPERLINK("https://svao.dolgi.msk.ru/account/1760100594/", 1760100594)</f>
        <v>1760100594</v>
      </c>
      <c r="D2572">
        <v>8763.18</v>
      </c>
    </row>
    <row r="2573" spans="1:4" x14ac:dyDescent="0.25">
      <c r="A2573" t="s">
        <v>433</v>
      </c>
      <c r="B2573" t="s">
        <v>26</v>
      </c>
      <c r="C2573" s="2">
        <f>HYPERLINK("https://svao.dolgi.msk.ru/account/1760100615/", 1760100615)</f>
        <v>1760100615</v>
      </c>
      <c r="D2573">
        <v>100</v>
      </c>
    </row>
    <row r="2574" spans="1:4" x14ac:dyDescent="0.25">
      <c r="A2574" t="s">
        <v>433</v>
      </c>
      <c r="B2574" t="s">
        <v>133</v>
      </c>
      <c r="C2574" s="2">
        <f>HYPERLINK("https://svao.dolgi.msk.ru/account/1760100623/", 1760100623)</f>
        <v>1760100623</v>
      </c>
      <c r="D2574">
        <v>2768.87</v>
      </c>
    </row>
    <row r="2575" spans="1:4" x14ac:dyDescent="0.25">
      <c r="A2575" t="s">
        <v>433</v>
      </c>
      <c r="B2575" t="s">
        <v>134</v>
      </c>
      <c r="C2575" s="2">
        <f>HYPERLINK("https://svao.dolgi.msk.ru/account/1760100703/", 1760100703)</f>
        <v>1760100703</v>
      </c>
      <c r="D2575">
        <v>6098.64</v>
      </c>
    </row>
    <row r="2576" spans="1:4" x14ac:dyDescent="0.25">
      <c r="A2576" t="s">
        <v>433</v>
      </c>
      <c r="B2576" t="s">
        <v>28</v>
      </c>
      <c r="C2576" s="2">
        <f>HYPERLINK("https://svao.dolgi.msk.ru/account/1760100738/", 1760100738)</f>
        <v>1760100738</v>
      </c>
      <c r="D2576">
        <v>8284.18</v>
      </c>
    </row>
    <row r="2577" spans="1:4" x14ac:dyDescent="0.25">
      <c r="A2577" t="s">
        <v>433</v>
      </c>
      <c r="B2577" t="s">
        <v>29</v>
      </c>
      <c r="C2577" s="2">
        <f>HYPERLINK("https://svao.dolgi.msk.ru/account/1760100746/", 1760100746)</f>
        <v>1760100746</v>
      </c>
      <c r="D2577">
        <v>5871.95</v>
      </c>
    </row>
    <row r="2578" spans="1:4" x14ac:dyDescent="0.25">
      <c r="A2578" t="s">
        <v>433</v>
      </c>
      <c r="B2578" t="s">
        <v>291</v>
      </c>
      <c r="C2578" s="2">
        <f>HYPERLINK("https://svao.dolgi.msk.ru/account/1760100842/", 1760100842)</f>
        <v>1760100842</v>
      </c>
      <c r="D2578">
        <v>5711.91</v>
      </c>
    </row>
    <row r="2579" spans="1:4" x14ac:dyDescent="0.25">
      <c r="A2579" t="s">
        <v>433</v>
      </c>
      <c r="B2579" t="s">
        <v>245</v>
      </c>
      <c r="C2579" s="2">
        <f>HYPERLINK("https://svao.dolgi.msk.ru/account/1760100869/", 1760100869)</f>
        <v>1760100869</v>
      </c>
      <c r="D2579">
        <v>9078.06</v>
      </c>
    </row>
    <row r="2580" spans="1:4" x14ac:dyDescent="0.25">
      <c r="A2580" t="s">
        <v>433</v>
      </c>
      <c r="B2580" t="s">
        <v>34</v>
      </c>
      <c r="C2580" s="2">
        <f>HYPERLINK("https://svao.dolgi.msk.ru/account/1760100906/", 1760100906)</f>
        <v>1760100906</v>
      </c>
      <c r="D2580">
        <v>4028.51</v>
      </c>
    </row>
    <row r="2581" spans="1:4" x14ac:dyDescent="0.25">
      <c r="A2581" t="s">
        <v>433</v>
      </c>
      <c r="B2581" t="s">
        <v>99</v>
      </c>
      <c r="C2581" s="2">
        <f>HYPERLINK("https://svao.dolgi.msk.ru/account/1760100922/", 1760100922)</f>
        <v>1760100922</v>
      </c>
      <c r="D2581">
        <v>4984.72</v>
      </c>
    </row>
    <row r="2582" spans="1:4" x14ac:dyDescent="0.25">
      <c r="A2582" t="s">
        <v>433</v>
      </c>
      <c r="B2582" t="s">
        <v>36</v>
      </c>
      <c r="C2582" s="2">
        <f>HYPERLINK("https://svao.dolgi.msk.ru/account/1760100981/", 1760100981)</f>
        <v>1760100981</v>
      </c>
      <c r="D2582">
        <v>4184.45</v>
      </c>
    </row>
    <row r="2583" spans="1:4" x14ac:dyDescent="0.25">
      <c r="A2583" t="s">
        <v>433</v>
      </c>
      <c r="B2583" t="s">
        <v>88</v>
      </c>
      <c r="C2583" s="2">
        <f>HYPERLINK("https://svao.dolgi.msk.ru/account/1760101001/", 1760101001)</f>
        <v>1760101001</v>
      </c>
      <c r="D2583">
        <v>10821.75</v>
      </c>
    </row>
    <row r="2584" spans="1:4" x14ac:dyDescent="0.25">
      <c r="A2584" t="s">
        <v>433</v>
      </c>
      <c r="B2584" t="s">
        <v>293</v>
      </c>
      <c r="C2584" s="2">
        <f>HYPERLINK("https://svao.dolgi.msk.ru/account/1760101028/", 1760101028)</f>
        <v>1760101028</v>
      </c>
      <c r="D2584">
        <v>2635.6</v>
      </c>
    </row>
    <row r="2585" spans="1:4" x14ac:dyDescent="0.25">
      <c r="A2585" t="s">
        <v>433</v>
      </c>
      <c r="B2585" t="s">
        <v>304</v>
      </c>
      <c r="C2585" s="2">
        <f>HYPERLINK("https://svao.dolgi.msk.ru/account/1760101036/", 1760101036)</f>
        <v>1760101036</v>
      </c>
      <c r="D2585">
        <v>7636.06</v>
      </c>
    </row>
    <row r="2586" spans="1:4" x14ac:dyDescent="0.25">
      <c r="A2586" t="s">
        <v>433</v>
      </c>
      <c r="B2586" t="s">
        <v>37</v>
      </c>
      <c r="C2586" s="2">
        <f>HYPERLINK("https://svao.dolgi.msk.ru/account/1760101044/", 1760101044)</f>
        <v>1760101044</v>
      </c>
      <c r="D2586">
        <v>320866.77</v>
      </c>
    </row>
    <row r="2587" spans="1:4" x14ac:dyDescent="0.25">
      <c r="A2587" t="s">
        <v>433</v>
      </c>
      <c r="B2587" t="s">
        <v>43</v>
      </c>
      <c r="C2587" s="2">
        <f>HYPERLINK("https://svao.dolgi.msk.ru/account/1760101095/", 1760101095)</f>
        <v>1760101095</v>
      </c>
      <c r="D2587">
        <v>5806.59</v>
      </c>
    </row>
    <row r="2588" spans="1:4" x14ac:dyDescent="0.25">
      <c r="A2588" t="s">
        <v>433</v>
      </c>
      <c r="B2588" t="s">
        <v>89</v>
      </c>
      <c r="C2588" s="2">
        <f>HYPERLINK("https://svao.dolgi.msk.ru/account/1760101124/", 1760101124)</f>
        <v>1760101124</v>
      </c>
      <c r="D2588">
        <v>8199.2000000000007</v>
      </c>
    </row>
    <row r="2589" spans="1:4" x14ac:dyDescent="0.25">
      <c r="A2589" t="s">
        <v>433</v>
      </c>
      <c r="B2589" t="s">
        <v>142</v>
      </c>
      <c r="C2589" s="2">
        <f>HYPERLINK("https://svao.dolgi.msk.ru/account/1760101132/", 1760101132)</f>
        <v>1760101132</v>
      </c>
      <c r="D2589">
        <v>6410.02</v>
      </c>
    </row>
    <row r="2590" spans="1:4" x14ac:dyDescent="0.25">
      <c r="A2590" t="s">
        <v>433</v>
      </c>
      <c r="B2590" t="s">
        <v>247</v>
      </c>
      <c r="C2590" s="2">
        <f>HYPERLINK("https://svao.dolgi.msk.ru/account/1760101159/", 1760101159)</f>
        <v>1760101159</v>
      </c>
      <c r="D2590">
        <v>3597.28</v>
      </c>
    </row>
    <row r="2591" spans="1:4" x14ac:dyDescent="0.25">
      <c r="A2591" t="s">
        <v>433</v>
      </c>
      <c r="B2591" t="s">
        <v>305</v>
      </c>
      <c r="C2591" s="2">
        <f>HYPERLINK("https://svao.dolgi.msk.ru/account/1760101167/", 1760101167)</f>
        <v>1760101167</v>
      </c>
      <c r="D2591">
        <v>3892.79</v>
      </c>
    </row>
    <row r="2592" spans="1:4" x14ac:dyDescent="0.25">
      <c r="A2592" t="s">
        <v>433</v>
      </c>
      <c r="B2592" t="s">
        <v>339</v>
      </c>
      <c r="C2592" s="2">
        <f>HYPERLINK("https://svao.dolgi.msk.ru/account/1760101271/", 1760101271)</f>
        <v>1760101271</v>
      </c>
      <c r="D2592">
        <v>8829.15</v>
      </c>
    </row>
    <row r="2593" spans="1:4" x14ac:dyDescent="0.25">
      <c r="A2593" t="s">
        <v>433</v>
      </c>
      <c r="B2593" t="s">
        <v>50</v>
      </c>
      <c r="C2593" s="2">
        <f>HYPERLINK("https://svao.dolgi.msk.ru/account/1760101415/", 1760101415)</f>
        <v>1760101415</v>
      </c>
      <c r="D2593">
        <v>4546.75</v>
      </c>
    </row>
    <row r="2594" spans="1:4" x14ac:dyDescent="0.25">
      <c r="A2594" t="s">
        <v>433</v>
      </c>
      <c r="B2594" t="s">
        <v>334</v>
      </c>
      <c r="C2594" s="2">
        <f>HYPERLINK("https://svao.dolgi.msk.ru/account/1760101431/", 1760101431)</f>
        <v>1760101431</v>
      </c>
      <c r="D2594">
        <v>9127.98</v>
      </c>
    </row>
    <row r="2595" spans="1:4" x14ac:dyDescent="0.25">
      <c r="A2595" t="s">
        <v>433</v>
      </c>
      <c r="B2595" t="s">
        <v>295</v>
      </c>
      <c r="C2595" s="2">
        <f>HYPERLINK("https://svao.dolgi.msk.ru/account/1760101503/", 1760101503)</f>
        <v>1760101503</v>
      </c>
      <c r="D2595">
        <v>6115.35</v>
      </c>
    </row>
    <row r="2596" spans="1:4" x14ac:dyDescent="0.25">
      <c r="A2596" t="s">
        <v>433</v>
      </c>
      <c r="B2596" t="s">
        <v>307</v>
      </c>
      <c r="C2596" s="2">
        <f>HYPERLINK("https://svao.dolgi.msk.ru/account/1760101538/", 1760101538)</f>
        <v>1760101538</v>
      </c>
      <c r="D2596">
        <v>9177.44</v>
      </c>
    </row>
    <row r="2597" spans="1:4" x14ac:dyDescent="0.25">
      <c r="A2597" t="s">
        <v>433</v>
      </c>
      <c r="B2597" t="s">
        <v>151</v>
      </c>
      <c r="C2597" s="2">
        <f>HYPERLINK("https://svao.dolgi.msk.ru/account/1760101554/", 1760101554)</f>
        <v>1760101554</v>
      </c>
      <c r="D2597">
        <v>3934.35</v>
      </c>
    </row>
    <row r="2598" spans="1:4" x14ac:dyDescent="0.25">
      <c r="A2598" t="s">
        <v>433</v>
      </c>
      <c r="B2598" t="s">
        <v>317</v>
      </c>
      <c r="C2598" s="2">
        <f>HYPERLINK("https://svao.dolgi.msk.ru/account/1760101597/", 1760101597)</f>
        <v>1760101597</v>
      </c>
      <c r="D2598">
        <v>5710.08</v>
      </c>
    </row>
    <row r="2599" spans="1:4" x14ac:dyDescent="0.25">
      <c r="A2599" t="s">
        <v>433</v>
      </c>
      <c r="B2599" t="s">
        <v>253</v>
      </c>
      <c r="C2599" s="2">
        <f>HYPERLINK("https://svao.dolgi.msk.ru/account/1760101626/", 1760101626)</f>
        <v>1760101626</v>
      </c>
      <c r="D2599">
        <v>608.22</v>
      </c>
    </row>
    <row r="2600" spans="1:4" x14ac:dyDescent="0.25">
      <c r="A2600" t="s">
        <v>433</v>
      </c>
      <c r="B2600" t="s">
        <v>308</v>
      </c>
      <c r="C2600" s="2">
        <f>HYPERLINK("https://svao.dolgi.msk.ru/account/1760101669/", 1760101669)</f>
        <v>1760101669</v>
      </c>
      <c r="D2600">
        <v>200</v>
      </c>
    </row>
    <row r="2601" spans="1:4" x14ac:dyDescent="0.25">
      <c r="A2601" t="s">
        <v>433</v>
      </c>
      <c r="B2601" t="s">
        <v>297</v>
      </c>
      <c r="C2601" s="2">
        <f>HYPERLINK("https://svao.dolgi.msk.ru/account/1760101722/", 1760101722)</f>
        <v>1760101722</v>
      </c>
      <c r="D2601">
        <v>2112.21</v>
      </c>
    </row>
    <row r="2602" spans="1:4" x14ac:dyDescent="0.25">
      <c r="A2602" t="s">
        <v>433</v>
      </c>
      <c r="B2602" t="s">
        <v>154</v>
      </c>
      <c r="C2602" s="2">
        <f>HYPERLINK("https://svao.dolgi.msk.ru/account/1760101781/", 1760101781)</f>
        <v>1760101781</v>
      </c>
      <c r="D2602">
        <v>8751.18</v>
      </c>
    </row>
    <row r="2603" spans="1:4" x14ac:dyDescent="0.25">
      <c r="A2603" t="s">
        <v>433</v>
      </c>
      <c r="B2603" t="s">
        <v>328</v>
      </c>
      <c r="C2603" s="2">
        <f>HYPERLINK("https://svao.dolgi.msk.ru/account/1760101802/", 1760101802)</f>
        <v>1760101802</v>
      </c>
      <c r="D2603">
        <v>3424.2</v>
      </c>
    </row>
    <row r="2604" spans="1:4" x14ac:dyDescent="0.25">
      <c r="A2604" t="s">
        <v>433</v>
      </c>
      <c r="B2604" t="s">
        <v>312</v>
      </c>
      <c r="C2604" s="2">
        <f>HYPERLINK("https://svao.dolgi.msk.ru/account/1760101829/", 1760101829)</f>
        <v>1760101829</v>
      </c>
      <c r="D2604">
        <v>308.08999999999997</v>
      </c>
    </row>
    <row r="2605" spans="1:4" x14ac:dyDescent="0.25">
      <c r="A2605" t="s">
        <v>433</v>
      </c>
      <c r="B2605" t="s">
        <v>157</v>
      </c>
      <c r="C2605" s="2">
        <f>HYPERLINK("https://svao.dolgi.msk.ru/account/1760101861/", 1760101861)</f>
        <v>1760101861</v>
      </c>
      <c r="D2605">
        <v>3238.79</v>
      </c>
    </row>
    <row r="2606" spans="1:4" x14ac:dyDescent="0.25">
      <c r="A2606" t="s">
        <v>433</v>
      </c>
      <c r="B2606" t="s">
        <v>299</v>
      </c>
      <c r="C2606" s="2">
        <f>HYPERLINK("https://svao.dolgi.msk.ru/account/1760101941/", 1760101941)</f>
        <v>1760101941</v>
      </c>
      <c r="D2606">
        <v>5791.74</v>
      </c>
    </row>
    <row r="2607" spans="1:4" x14ac:dyDescent="0.25">
      <c r="A2607" t="s">
        <v>433</v>
      </c>
      <c r="B2607" t="s">
        <v>158</v>
      </c>
      <c r="C2607" s="2">
        <f>HYPERLINK("https://svao.dolgi.msk.ru/account/1760101968/", 1760101968)</f>
        <v>1760101968</v>
      </c>
      <c r="D2607">
        <v>7279.16</v>
      </c>
    </row>
    <row r="2608" spans="1:4" x14ac:dyDescent="0.25">
      <c r="A2608" t="s">
        <v>433</v>
      </c>
      <c r="B2608" t="s">
        <v>336</v>
      </c>
      <c r="C2608" s="2">
        <f>HYPERLINK("https://svao.dolgi.msk.ru/account/1760101992/", 1760101992)</f>
        <v>1760101992</v>
      </c>
      <c r="D2608">
        <v>94052.82</v>
      </c>
    </row>
    <row r="2609" spans="1:4" x14ac:dyDescent="0.25">
      <c r="A2609" t="s">
        <v>433</v>
      </c>
      <c r="B2609" t="s">
        <v>378</v>
      </c>
      <c r="C2609" s="2">
        <f>HYPERLINK("https://svao.dolgi.msk.ru/account/1761783841/", 1761783841)</f>
        <v>1761783841</v>
      </c>
      <c r="D2609">
        <v>1118.25</v>
      </c>
    </row>
    <row r="2610" spans="1:4" x14ac:dyDescent="0.25">
      <c r="A2610" t="s">
        <v>433</v>
      </c>
      <c r="B2610" t="s">
        <v>342</v>
      </c>
      <c r="C2610" s="2">
        <f>HYPERLINK("https://svao.dolgi.msk.ru/account/1760102039/", 1760102039)</f>
        <v>1760102039</v>
      </c>
      <c r="D2610">
        <v>4039.4</v>
      </c>
    </row>
    <row r="2611" spans="1:4" x14ac:dyDescent="0.25">
      <c r="A2611" t="s">
        <v>433</v>
      </c>
      <c r="B2611" t="s">
        <v>61</v>
      </c>
      <c r="C2611" s="2">
        <f>HYPERLINK("https://svao.dolgi.msk.ru/account/1760102055/", 1760102055)</f>
        <v>1760102055</v>
      </c>
      <c r="D2611">
        <v>7850.97</v>
      </c>
    </row>
    <row r="2612" spans="1:4" x14ac:dyDescent="0.25">
      <c r="A2612" t="s">
        <v>433</v>
      </c>
      <c r="B2612" t="s">
        <v>159</v>
      </c>
      <c r="C2612" s="2">
        <f>HYPERLINK("https://svao.dolgi.msk.ru/account/1760102063/", 1760102063)</f>
        <v>1760102063</v>
      </c>
      <c r="D2612">
        <v>5910.82</v>
      </c>
    </row>
    <row r="2613" spans="1:4" x14ac:dyDescent="0.25">
      <c r="A2613" t="s">
        <v>433</v>
      </c>
      <c r="B2613" t="s">
        <v>345</v>
      </c>
      <c r="C2613" s="2">
        <f>HYPERLINK("https://svao.dolgi.msk.ru/account/1760102143/", 1760102143)</f>
        <v>1760102143</v>
      </c>
      <c r="D2613">
        <v>12726.59</v>
      </c>
    </row>
    <row r="2614" spans="1:4" x14ac:dyDescent="0.25">
      <c r="A2614" t="s">
        <v>433</v>
      </c>
      <c r="B2614" t="s">
        <v>64</v>
      </c>
      <c r="C2614" s="2">
        <f>HYPERLINK("https://svao.dolgi.msk.ru/account/1760102151/", 1760102151)</f>
        <v>1760102151</v>
      </c>
      <c r="D2614">
        <v>12797.64</v>
      </c>
    </row>
    <row r="2615" spans="1:4" x14ac:dyDescent="0.25">
      <c r="A2615" t="s">
        <v>433</v>
      </c>
      <c r="B2615" t="s">
        <v>66</v>
      </c>
      <c r="C2615" s="2">
        <f>HYPERLINK("https://svao.dolgi.msk.ru/account/1760102186/", 1760102186)</f>
        <v>1760102186</v>
      </c>
      <c r="D2615">
        <v>5875.19</v>
      </c>
    </row>
    <row r="2616" spans="1:4" x14ac:dyDescent="0.25">
      <c r="A2616" t="s">
        <v>433</v>
      </c>
      <c r="B2616" t="s">
        <v>161</v>
      </c>
      <c r="C2616" s="2">
        <f>HYPERLINK("https://svao.dolgi.msk.ru/account/1760102194/", 1760102194)</f>
        <v>1760102194</v>
      </c>
      <c r="D2616">
        <v>8929.1299999999992</v>
      </c>
    </row>
    <row r="2617" spans="1:4" x14ac:dyDescent="0.25">
      <c r="A2617" t="s">
        <v>433</v>
      </c>
      <c r="B2617" t="s">
        <v>162</v>
      </c>
      <c r="C2617" s="2">
        <f>HYPERLINK("https://svao.dolgi.msk.ru/account/1760102274/", 1760102274)</f>
        <v>1760102274</v>
      </c>
      <c r="D2617">
        <v>3544.6</v>
      </c>
    </row>
    <row r="2618" spans="1:4" x14ac:dyDescent="0.25">
      <c r="A2618" t="s">
        <v>433</v>
      </c>
      <c r="B2618" t="s">
        <v>163</v>
      </c>
      <c r="C2618" s="2">
        <f>HYPERLINK("https://svao.dolgi.msk.ru/account/1760102282/", 1760102282)</f>
        <v>1760102282</v>
      </c>
      <c r="D2618">
        <v>12914.69</v>
      </c>
    </row>
    <row r="2619" spans="1:4" x14ac:dyDescent="0.25">
      <c r="A2619" t="s">
        <v>433</v>
      </c>
      <c r="B2619" t="s">
        <v>434</v>
      </c>
      <c r="C2619" s="2">
        <f>HYPERLINK("https://svao.dolgi.msk.ru/account/1760102311/", 1760102311)</f>
        <v>1760102311</v>
      </c>
      <c r="D2619">
        <v>5567.09</v>
      </c>
    </row>
    <row r="2620" spans="1:4" x14ac:dyDescent="0.25">
      <c r="A2620" t="s">
        <v>433</v>
      </c>
      <c r="B2620" t="s">
        <v>164</v>
      </c>
      <c r="C2620" s="2">
        <f>HYPERLINK("https://svao.dolgi.msk.ru/account/1760102346/", 1760102346)</f>
        <v>1760102346</v>
      </c>
      <c r="D2620">
        <v>284.77999999999997</v>
      </c>
    </row>
    <row r="2621" spans="1:4" x14ac:dyDescent="0.25">
      <c r="A2621" t="s">
        <v>433</v>
      </c>
      <c r="B2621" t="s">
        <v>260</v>
      </c>
      <c r="C2621" s="2">
        <f>HYPERLINK("https://svao.dolgi.msk.ru/account/1760102362/", 1760102362)</f>
        <v>1760102362</v>
      </c>
      <c r="D2621">
        <v>7912.78</v>
      </c>
    </row>
    <row r="2622" spans="1:4" x14ac:dyDescent="0.25">
      <c r="A2622" t="s">
        <v>433</v>
      </c>
      <c r="B2622" t="s">
        <v>70</v>
      </c>
      <c r="C2622" s="2">
        <f>HYPERLINK("https://svao.dolgi.msk.ru/account/1760102389/", 1760102389)</f>
        <v>1760102389</v>
      </c>
      <c r="D2622">
        <v>662.01</v>
      </c>
    </row>
    <row r="2623" spans="1:4" x14ac:dyDescent="0.25">
      <c r="A2623" t="s">
        <v>433</v>
      </c>
      <c r="B2623" t="s">
        <v>435</v>
      </c>
      <c r="C2623" s="2">
        <f>HYPERLINK("https://svao.dolgi.msk.ru/account/1760102397/", 1760102397)</f>
        <v>1760102397</v>
      </c>
      <c r="D2623">
        <v>4384.92</v>
      </c>
    </row>
    <row r="2624" spans="1:4" x14ac:dyDescent="0.25">
      <c r="A2624" t="s">
        <v>433</v>
      </c>
      <c r="B2624" t="s">
        <v>71</v>
      </c>
      <c r="C2624" s="2">
        <f>HYPERLINK("https://svao.dolgi.msk.ru/account/1760102426/", 1760102426)</f>
        <v>1760102426</v>
      </c>
      <c r="D2624">
        <v>28796.63</v>
      </c>
    </row>
    <row r="2625" spans="1:4" x14ac:dyDescent="0.25">
      <c r="A2625" t="s">
        <v>433</v>
      </c>
      <c r="B2625" t="s">
        <v>261</v>
      </c>
      <c r="C2625" s="2">
        <f>HYPERLINK("https://svao.dolgi.msk.ru/account/1760102434/", 1760102434)</f>
        <v>1760102434</v>
      </c>
      <c r="D2625">
        <v>76451.33</v>
      </c>
    </row>
    <row r="2626" spans="1:4" x14ac:dyDescent="0.25">
      <c r="A2626" t="s">
        <v>433</v>
      </c>
      <c r="B2626" t="s">
        <v>262</v>
      </c>
      <c r="C2626" s="2">
        <f>HYPERLINK("https://svao.dolgi.msk.ru/account/1760102442/", 1760102442)</f>
        <v>1760102442</v>
      </c>
      <c r="D2626">
        <v>6782.39</v>
      </c>
    </row>
    <row r="2627" spans="1:4" x14ac:dyDescent="0.25">
      <c r="A2627" t="s">
        <v>433</v>
      </c>
      <c r="B2627" t="s">
        <v>347</v>
      </c>
      <c r="C2627" s="2">
        <f>HYPERLINK("https://svao.dolgi.msk.ru/account/1760102469/", 1760102469)</f>
        <v>1760102469</v>
      </c>
      <c r="D2627">
        <v>7827.31</v>
      </c>
    </row>
    <row r="2628" spans="1:4" x14ac:dyDescent="0.25">
      <c r="A2628" t="s">
        <v>433</v>
      </c>
      <c r="B2628" t="s">
        <v>418</v>
      </c>
      <c r="C2628" s="2">
        <f>HYPERLINK("https://svao.dolgi.msk.ru/account/1760102522/", 1760102522)</f>
        <v>1760102522</v>
      </c>
      <c r="D2628">
        <v>4713.78</v>
      </c>
    </row>
    <row r="2629" spans="1:4" x14ac:dyDescent="0.25">
      <c r="A2629" t="s">
        <v>433</v>
      </c>
      <c r="B2629" t="s">
        <v>264</v>
      </c>
      <c r="C2629" s="2">
        <f>HYPERLINK("https://svao.dolgi.msk.ru/account/1760102629/", 1760102629)</f>
        <v>1760102629</v>
      </c>
      <c r="D2629">
        <v>8102.43</v>
      </c>
    </row>
    <row r="2630" spans="1:4" x14ac:dyDescent="0.25">
      <c r="A2630" t="s">
        <v>433</v>
      </c>
      <c r="B2630" t="s">
        <v>171</v>
      </c>
      <c r="C2630" s="2">
        <f>HYPERLINK("https://svao.dolgi.msk.ru/account/1760102645/", 1760102645)</f>
        <v>1760102645</v>
      </c>
      <c r="D2630">
        <v>7704.47</v>
      </c>
    </row>
    <row r="2631" spans="1:4" x14ac:dyDescent="0.25">
      <c r="A2631" t="s">
        <v>433</v>
      </c>
      <c r="B2631" t="s">
        <v>436</v>
      </c>
      <c r="C2631" s="2">
        <f>HYPERLINK("https://svao.dolgi.msk.ru/account/1760102709/", 1760102709)</f>
        <v>1760102709</v>
      </c>
      <c r="D2631">
        <v>25357.89</v>
      </c>
    </row>
    <row r="2632" spans="1:4" x14ac:dyDescent="0.25">
      <c r="A2632" t="s">
        <v>433</v>
      </c>
      <c r="B2632" t="s">
        <v>266</v>
      </c>
      <c r="C2632" s="2">
        <f>HYPERLINK("https://svao.dolgi.msk.ru/account/1760102717/", 1760102717)</f>
        <v>1760102717</v>
      </c>
      <c r="D2632">
        <v>4488.1400000000003</v>
      </c>
    </row>
    <row r="2633" spans="1:4" x14ac:dyDescent="0.25">
      <c r="A2633" t="s">
        <v>433</v>
      </c>
      <c r="B2633" t="s">
        <v>351</v>
      </c>
      <c r="C2633" s="2">
        <f>HYPERLINK("https://svao.dolgi.msk.ru/account/1760102776/", 1760102776)</f>
        <v>1760102776</v>
      </c>
      <c r="D2633">
        <v>6099.03</v>
      </c>
    </row>
    <row r="2634" spans="1:4" x14ac:dyDescent="0.25">
      <c r="A2634" t="s">
        <v>433</v>
      </c>
      <c r="B2634" t="s">
        <v>353</v>
      </c>
      <c r="C2634" s="2">
        <f>HYPERLINK("https://svao.dolgi.msk.ru/account/1760102821/", 1760102821)</f>
        <v>1760102821</v>
      </c>
      <c r="D2634">
        <v>5111.75</v>
      </c>
    </row>
    <row r="2635" spans="1:4" x14ac:dyDescent="0.25">
      <c r="A2635" t="s">
        <v>433</v>
      </c>
      <c r="B2635" t="s">
        <v>176</v>
      </c>
      <c r="C2635" s="2">
        <f>HYPERLINK("https://svao.dolgi.msk.ru/account/1760102901/", 1760102901)</f>
        <v>1760102901</v>
      </c>
      <c r="D2635">
        <v>826.38</v>
      </c>
    </row>
    <row r="2636" spans="1:4" x14ac:dyDescent="0.25">
      <c r="A2636" t="s">
        <v>433</v>
      </c>
      <c r="B2636" t="s">
        <v>177</v>
      </c>
      <c r="C2636" s="2">
        <f>HYPERLINK("https://svao.dolgi.msk.ru/account/1760102928/", 1760102928)</f>
        <v>1760102928</v>
      </c>
      <c r="D2636">
        <v>33288.230000000003</v>
      </c>
    </row>
    <row r="2637" spans="1:4" x14ac:dyDescent="0.25">
      <c r="A2637" t="s">
        <v>433</v>
      </c>
      <c r="B2637" t="s">
        <v>269</v>
      </c>
      <c r="C2637" s="2">
        <f>HYPERLINK("https://svao.dolgi.msk.ru/account/1760102979/", 1760102979)</f>
        <v>1760102979</v>
      </c>
      <c r="D2637">
        <v>189555.88</v>
      </c>
    </row>
    <row r="2638" spans="1:4" x14ac:dyDescent="0.25">
      <c r="A2638" t="s">
        <v>433</v>
      </c>
      <c r="B2638" t="s">
        <v>179</v>
      </c>
      <c r="C2638" s="2">
        <f>HYPERLINK("https://svao.dolgi.msk.ru/account/1760103023/", 1760103023)</f>
        <v>1760103023</v>
      </c>
      <c r="D2638">
        <v>1098.42</v>
      </c>
    </row>
    <row r="2639" spans="1:4" x14ac:dyDescent="0.25">
      <c r="A2639" t="s">
        <v>433</v>
      </c>
      <c r="B2639" t="s">
        <v>180</v>
      </c>
      <c r="C2639" s="2">
        <f>HYPERLINK("https://svao.dolgi.msk.ru/account/1760103031/", 1760103031)</f>
        <v>1760103031</v>
      </c>
      <c r="D2639">
        <v>6830.27</v>
      </c>
    </row>
    <row r="2640" spans="1:4" x14ac:dyDescent="0.25">
      <c r="A2640" t="s">
        <v>433</v>
      </c>
      <c r="B2640" t="s">
        <v>437</v>
      </c>
      <c r="C2640" s="2">
        <f>HYPERLINK("https://svao.dolgi.msk.ru/account/1760103111/", 1760103111)</f>
        <v>1760103111</v>
      </c>
      <c r="D2640">
        <v>12033.99</v>
      </c>
    </row>
    <row r="2641" spans="1:4" x14ac:dyDescent="0.25">
      <c r="A2641" t="s">
        <v>433</v>
      </c>
      <c r="B2641" t="s">
        <v>275</v>
      </c>
      <c r="C2641" s="2">
        <f>HYPERLINK("https://svao.dolgi.msk.ru/account/1760103146/", 1760103146)</f>
        <v>1760103146</v>
      </c>
      <c r="D2641">
        <v>3694.69</v>
      </c>
    </row>
    <row r="2642" spans="1:4" x14ac:dyDescent="0.25">
      <c r="A2642" t="s">
        <v>438</v>
      </c>
      <c r="B2642" t="s">
        <v>7</v>
      </c>
      <c r="C2642" s="2">
        <f>HYPERLINK("https://svao.dolgi.msk.ru/account/1760076619/", 1760076619)</f>
        <v>1760076619</v>
      </c>
      <c r="D2642">
        <v>19228.2</v>
      </c>
    </row>
    <row r="2643" spans="1:4" x14ac:dyDescent="0.25">
      <c r="A2643" t="s">
        <v>438</v>
      </c>
      <c r="B2643" t="s">
        <v>141</v>
      </c>
      <c r="C2643" s="2">
        <f>HYPERLINK("https://svao.dolgi.msk.ru/account/1760076635/", 1760076635)</f>
        <v>1760076635</v>
      </c>
      <c r="D2643">
        <v>8829.8700000000008</v>
      </c>
    </row>
    <row r="2644" spans="1:4" x14ac:dyDescent="0.25">
      <c r="A2644" t="s">
        <v>438</v>
      </c>
      <c r="B2644" t="s">
        <v>104</v>
      </c>
      <c r="C2644" s="2">
        <f>HYPERLINK("https://svao.dolgi.msk.ru/account/1760076694/", 1760076694)</f>
        <v>1760076694</v>
      </c>
      <c r="D2644">
        <v>5517.03</v>
      </c>
    </row>
    <row r="2645" spans="1:4" x14ac:dyDescent="0.25">
      <c r="A2645" t="s">
        <v>438</v>
      </c>
      <c r="B2645" t="s">
        <v>10</v>
      </c>
      <c r="C2645" s="2">
        <f>HYPERLINK("https://svao.dolgi.msk.ru/account/1760076774/", 1760076774)</f>
        <v>1760076774</v>
      </c>
      <c r="D2645">
        <v>6803.92</v>
      </c>
    </row>
    <row r="2646" spans="1:4" x14ac:dyDescent="0.25">
      <c r="A2646" t="s">
        <v>438</v>
      </c>
      <c r="B2646" t="s">
        <v>11</v>
      </c>
      <c r="C2646" s="2">
        <f>HYPERLINK("https://svao.dolgi.msk.ru/account/1760076803/", 1760076803)</f>
        <v>1760076803</v>
      </c>
      <c r="D2646">
        <v>7852.21</v>
      </c>
    </row>
    <row r="2647" spans="1:4" x14ac:dyDescent="0.25">
      <c r="A2647" t="s">
        <v>438</v>
      </c>
      <c r="B2647" t="s">
        <v>16</v>
      </c>
      <c r="C2647" s="2">
        <f>HYPERLINK("https://svao.dolgi.msk.ru/account/1760076934/", 1760076934)</f>
        <v>1760076934</v>
      </c>
      <c r="D2647">
        <v>5518.36</v>
      </c>
    </row>
    <row r="2648" spans="1:4" x14ac:dyDescent="0.25">
      <c r="A2648" t="s">
        <v>438</v>
      </c>
      <c r="B2648" t="s">
        <v>109</v>
      </c>
      <c r="C2648" s="2">
        <f>HYPERLINK("https://svao.dolgi.msk.ru/account/1760076985/", 1760076985)</f>
        <v>1760076985</v>
      </c>
      <c r="D2648">
        <v>4253.95</v>
      </c>
    </row>
    <row r="2649" spans="1:4" x14ac:dyDescent="0.25">
      <c r="A2649" t="s">
        <v>438</v>
      </c>
      <c r="B2649" t="s">
        <v>111</v>
      </c>
      <c r="C2649" s="2">
        <f>HYPERLINK("https://svao.dolgi.msk.ru/account/1760077064/", 1760077064)</f>
        <v>1760077064</v>
      </c>
      <c r="D2649">
        <v>6476.33</v>
      </c>
    </row>
    <row r="2650" spans="1:4" x14ac:dyDescent="0.25">
      <c r="A2650" t="s">
        <v>438</v>
      </c>
      <c r="B2650" t="s">
        <v>77</v>
      </c>
      <c r="C2650" s="2">
        <f>HYPERLINK("https://svao.dolgi.msk.ru/account/1760077136/", 1760077136)</f>
        <v>1760077136</v>
      </c>
      <c r="D2650">
        <v>690.54</v>
      </c>
    </row>
    <row r="2651" spans="1:4" x14ac:dyDescent="0.25">
      <c r="A2651" t="s">
        <v>438</v>
      </c>
      <c r="B2651" t="s">
        <v>22</v>
      </c>
      <c r="C2651" s="2">
        <f>HYPERLINK("https://svao.dolgi.msk.ru/account/1760077179/", 1760077179)</f>
        <v>1760077179</v>
      </c>
      <c r="D2651">
        <v>12952.14</v>
      </c>
    </row>
    <row r="2652" spans="1:4" x14ac:dyDescent="0.25">
      <c r="A2652" t="s">
        <v>438</v>
      </c>
      <c r="B2652" t="s">
        <v>131</v>
      </c>
      <c r="C2652" s="2">
        <f>HYPERLINK("https://svao.dolgi.msk.ru/account/1760077291/", 1760077291)</f>
        <v>1760077291</v>
      </c>
      <c r="D2652">
        <v>13257.66</v>
      </c>
    </row>
    <row r="2653" spans="1:4" x14ac:dyDescent="0.25">
      <c r="A2653" t="s">
        <v>438</v>
      </c>
      <c r="B2653" t="s">
        <v>126</v>
      </c>
      <c r="C2653" s="2">
        <f>HYPERLINK("https://svao.dolgi.msk.ru/account/1760077312/", 1760077312)</f>
        <v>1760077312</v>
      </c>
      <c r="D2653">
        <v>6312.35</v>
      </c>
    </row>
    <row r="2654" spans="1:4" x14ac:dyDescent="0.25">
      <c r="A2654" t="s">
        <v>438</v>
      </c>
      <c r="B2654" t="s">
        <v>80</v>
      </c>
      <c r="C2654" s="2">
        <f>HYPERLINK("https://svao.dolgi.msk.ru/account/1760077339/", 1760077339)</f>
        <v>1760077339</v>
      </c>
      <c r="D2654">
        <v>7688.79</v>
      </c>
    </row>
    <row r="2655" spans="1:4" x14ac:dyDescent="0.25">
      <c r="A2655" t="s">
        <v>438</v>
      </c>
      <c r="B2655" t="s">
        <v>127</v>
      </c>
      <c r="C2655" s="2">
        <f>HYPERLINK("https://svao.dolgi.msk.ru/account/1760077355/", 1760077355)</f>
        <v>1760077355</v>
      </c>
      <c r="D2655">
        <v>7557.46</v>
      </c>
    </row>
    <row r="2656" spans="1:4" x14ac:dyDescent="0.25">
      <c r="A2656" t="s">
        <v>438</v>
      </c>
      <c r="B2656" t="s">
        <v>119</v>
      </c>
      <c r="C2656" s="2">
        <f>HYPERLINK("https://svao.dolgi.msk.ru/account/1760077371/", 1760077371)</f>
        <v>1760077371</v>
      </c>
      <c r="D2656">
        <v>6497.49</v>
      </c>
    </row>
    <row r="2657" spans="1:4" x14ac:dyDescent="0.25">
      <c r="A2657" t="s">
        <v>438</v>
      </c>
      <c r="B2657" t="s">
        <v>128</v>
      </c>
      <c r="C2657" s="2">
        <f>HYPERLINK("https://svao.dolgi.msk.ru/account/1760077427/", 1760077427)</f>
        <v>1760077427</v>
      </c>
      <c r="D2657">
        <v>9930.9599999999991</v>
      </c>
    </row>
    <row r="2658" spans="1:4" x14ac:dyDescent="0.25">
      <c r="A2658" t="s">
        <v>438</v>
      </c>
      <c r="B2658" t="s">
        <v>134</v>
      </c>
      <c r="C2658" s="2">
        <f>HYPERLINK("https://svao.dolgi.msk.ru/account/1760077603/", 1760077603)</f>
        <v>1760077603</v>
      </c>
      <c r="D2658">
        <v>10904.07</v>
      </c>
    </row>
    <row r="2659" spans="1:4" x14ac:dyDescent="0.25">
      <c r="A2659" t="s">
        <v>438</v>
      </c>
      <c r="B2659" t="s">
        <v>29</v>
      </c>
      <c r="C2659" s="2">
        <f>HYPERLINK("https://svao.dolgi.msk.ru/account/1760077646/", 1760077646)</f>
        <v>1760077646</v>
      </c>
      <c r="D2659">
        <v>1125.1600000000001</v>
      </c>
    </row>
    <row r="2660" spans="1:4" x14ac:dyDescent="0.25">
      <c r="A2660" t="s">
        <v>438</v>
      </c>
      <c r="B2660" t="s">
        <v>31</v>
      </c>
      <c r="C2660" s="2">
        <f>HYPERLINK("https://svao.dolgi.msk.ru/account/1760077742/", 1760077742)</f>
        <v>1760077742</v>
      </c>
      <c r="D2660">
        <v>6598.51</v>
      </c>
    </row>
    <row r="2661" spans="1:4" x14ac:dyDescent="0.25">
      <c r="A2661" t="s">
        <v>438</v>
      </c>
      <c r="B2661" t="s">
        <v>245</v>
      </c>
      <c r="C2661" s="2">
        <f>HYPERLINK("https://svao.dolgi.msk.ru/account/1760077785/", 1760077785)</f>
        <v>1760077785</v>
      </c>
      <c r="D2661">
        <v>365.32</v>
      </c>
    </row>
    <row r="2662" spans="1:4" x14ac:dyDescent="0.25">
      <c r="A2662" t="s">
        <v>438</v>
      </c>
      <c r="B2662" t="s">
        <v>33</v>
      </c>
      <c r="C2662" s="2">
        <f>HYPERLINK("https://svao.dolgi.msk.ru/account/1760077849/", 1760077849)</f>
        <v>1760077849</v>
      </c>
      <c r="D2662">
        <v>10522.77</v>
      </c>
    </row>
    <row r="2663" spans="1:4" x14ac:dyDescent="0.25">
      <c r="A2663" t="s">
        <v>438</v>
      </c>
      <c r="B2663" t="s">
        <v>34</v>
      </c>
      <c r="C2663" s="2">
        <f>HYPERLINK("https://svao.dolgi.msk.ru/account/1760077857/", 1760077857)</f>
        <v>1760077857</v>
      </c>
      <c r="D2663">
        <v>10099.14</v>
      </c>
    </row>
    <row r="2664" spans="1:4" x14ac:dyDescent="0.25">
      <c r="A2664" t="s">
        <v>438</v>
      </c>
      <c r="B2664" t="s">
        <v>293</v>
      </c>
      <c r="C2664" s="2">
        <f>HYPERLINK("https://svao.dolgi.msk.ru/account/1760077996/", 1760077996)</f>
        <v>1760077996</v>
      </c>
      <c r="D2664">
        <v>20098.95</v>
      </c>
    </row>
    <row r="2665" spans="1:4" x14ac:dyDescent="0.25">
      <c r="A2665" t="s">
        <v>438</v>
      </c>
      <c r="B2665" t="s">
        <v>43</v>
      </c>
      <c r="C2665" s="2">
        <f>HYPERLINK("https://svao.dolgi.msk.ru/account/1760078075/", 1760078075)</f>
        <v>1760078075</v>
      </c>
      <c r="D2665">
        <v>1671.73</v>
      </c>
    </row>
    <row r="2666" spans="1:4" x14ac:dyDescent="0.25">
      <c r="A2666" t="s">
        <v>438</v>
      </c>
      <c r="B2666" t="s">
        <v>43</v>
      </c>
      <c r="C2666" s="2">
        <f>HYPERLINK("https://svao.dolgi.msk.ru/account/1760078083/", 1760078083)</f>
        <v>1760078083</v>
      </c>
      <c r="D2666">
        <v>11538.81</v>
      </c>
    </row>
    <row r="2667" spans="1:4" x14ac:dyDescent="0.25">
      <c r="A2667" t="s">
        <v>438</v>
      </c>
      <c r="B2667" t="s">
        <v>247</v>
      </c>
      <c r="C2667" s="2">
        <f>HYPERLINK("https://svao.dolgi.msk.ru/account/1760078163/", 1760078163)</f>
        <v>1760078163</v>
      </c>
      <c r="D2667">
        <v>7941.38</v>
      </c>
    </row>
    <row r="2668" spans="1:4" x14ac:dyDescent="0.25">
      <c r="A2668" t="s">
        <v>438</v>
      </c>
      <c r="B2668" t="s">
        <v>144</v>
      </c>
      <c r="C2668" s="2">
        <f>HYPERLINK("https://svao.dolgi.msk.ru/account/1760078227/", 1760078227)</f>
        <v>1760078227</v>
      </c>
      <c r="D2668">
        <v>400.99</v>
      </c>
    </row>
    <row r="2669" spans="1:4" x14ac:dyDescent="0.25">
      <c r="A2669" t="s">
        <v>438</v>
      </c>
      <c r="B2669" t="s">
        <v>315</v>
      </c>
      <c r="C2669" s="2">
        <f>HYPERLINK("https://svao.dolgi.msk.ru/account/1760078235/", 1760078235)</f>
        <v>1760078235</v>
      </c>
      <c r="D2669">
        <v>8215.52</v>
      </c>
    </row>
    <row r="2670" spans="1:4" x14ac:dyDescent="0.25">
      <c r="A2670" t="s">
        <v>438</v>
      </c>
      <c r="B2670" t="s">
        <v>46</v>
      </c>
      <c r="C2670" s="2">
        <f>HYPERLINK("https://svao.dolgi.msk.ru/account/1760078286/", 1760078286)</f>
        <v>1760078286</v>
      </c>
      <c r="D2670">
        <v>4636.54</v>
      </c>
    </row>
    <row r="2671" spans="1:4" x14ac:dyDescent="0.25">
      <c r="A2671" t="s">
        <v>438</v>
      </c>
      <c r="B2671" t="s">
        <v>145</v>
      </c>
      <c r="C2671" s="2">
        <f>HYPERLINK("https://svao.dolgi.msk.ru/account/1760078294/", 1760078294)</f>
        <v>1760078294</v>
      </c>
      <c r="D2671">
        <v>16692.490000000002</v>
      </c>
    </row>
    <row r="2672" spans="1:4" x14ac:dyDescent="0.25">
      <c r="A2672" t="s">
        <v>438</v>
      </c>
      <c r="B2672" t="s">
        <v>146</v>
      </c>
      <c r="C2672" s="2">
        <f>HYPERLINK("https://svao.dolgi.msk.ru/account/1760078358/", 1760078358)</f>
        <v>1760078358</v>
      </c>
      <c r="D2672">
        <v>12522.04</v>
      </c>
    </row>
    <row r="2673" spans="1:4" x14ac:dyDescent="0.25">
      <c r="A2673" t="s">
        <v>438</v>
      </c>
      <c r="B2673" t="s">
        <v>50</v>
      </c>
      <c r="C2673" s="2">
        <f>HYPERLINK("https://svao.dolgi.msk.ru/account/1760078446/", 1760078446)</f>
        <v>1760078446</v>
      </c>
      <c r="D2673">
        <v>249.96</v>
      </c>
    </row>
    <row r="2674" spans="1:4" x14ac:dyDescent="0.25">
      <c r="A2674" t="s">
        <v>438</v>
      </c>
      <c r="B2674" t="s">
        <v>51</v>
      </c>
      <c r="C2674" s="2">
        <f>HYPERLINK("https://svao.dolgi.msk.ru/account/1760078454/", 1760078454)</f>
        <v>1760078454</v>
      </c>
      <c r="D2674">
        <v>4086.79</v>
      </c>
    </row>
    <row r="2675" spans="1:4" x14ac:dyDescent="0.25">
      <c r="A2675" t="s">
        <v>438</v>
      </c>
      <c r="B2675" t="s">
        <v>149</v>
      </c>
      <c r="C2675" s="2">
        <f>HYPERLINK("https://svao.dolgi.msk.ru/account/1760078569/", 1760078569)</f>
        <v>1760078569</v>
      </c>
      <c r="D2675">
        <v>10231.89</v>
      </c>
    </row>
    <row r="2676" spans="1:4" x14ac:dyDescent="0.25">
      <c r="A2676" t="s">
        <v>438</v>
      </c>
      <c r="B2676" t="s">
        <v>151</v>
      </c>
      <c r="C2676" s="2">
        <f>HYPERLINK("https://svao.dolgi.msk.ru/account/1760078614/", 1760078614)</f>
        <v>1760078614</v>
      </c>
      <c r="D2676">
        <v>593.88</v>
      </c>
    </row>
    <row r="2677" spans="1:4" x14ac:dyDescent="0.25">
      <c r="A2677" t="s">
        <v>438</v>
      </c>
      <c r="B2677" t="s">
        <v>308</v>
      </c>
      <c r="C2677" s="2">
        <f>HYPERLINK("https://svao.dolgi.msk.ru/account/1760078737/", 1760078737)</f>
        <v>1760078737</v>
      </c>
      <c r="D2677">
        <v>9476.07</v>
      </c>
    </row>
    <row r="2678" spans="1:4" x14ac:dyDescent="0.25">
      <c r="A2678" t="s">
        <v>438</v>
      </c>
      <c r="B2678" t="s">
        <v>254</v>
      </c>
      <c r="C2678" s="2">
        <f>HYPERLINK("https://svao.dolgi.msk.ru/account/1760078761/", 1760078761)</f>
        <v>1760078761</v>
      </c>
      <c r="D2678">
        <v>1477.01</v>
      </c>
    </row>
    <row r="2679" spans="1:4" x14ac:dyDescent="0.25">
      <c r="A2679" t="s">
        <v>438</v>
      </c>
      <c r="B2679" t="s">
        <v>318</v>
      </c>
      <c r="C2679" s="2">
        <f>HYPERLINK("https://svao.dolgi.msk.ru/account/1760078788/", 1760078788)</f>
        <v>1760078788</v>
      </c>
      <c r="D2679">
        <v>32840.71</v>
      </c>
    </row>
    <row r="2680" spans="1:4" x14ac:dyDescent="0.25">
      <c r="A2680" t="s">
        <v>438</v>
      </c>
      <c r="B2680" t="s">
        <v>297</v>
      </c>
      <c r="C2680" s="2">
        <f>HYPERLINK("https://svao.dolgi.msk.ru/account/1760078876/", 1760078876)</f>
        <v>1760078876</v>
      </c>
      <c r="D2680">
        <v>6453.08</v>
      </c>
    </row>
    <row r="2681" spans="1:4" x14ac:dyDescent="0.25">
      <c r="A2681" t="s">
        <v>438</v>
      </c>
      <c r="B2681" t="s">
        <v>155</v>
      </c>
      <c r="C2681" s="2">
        <f>HYPERLINK("https://svao.dolgi.msk.ru/account/1760078905/", 1760078905)</f>
        <v>1760078905</v>
      </c>
      <c r="D2681">
        <v>31509.81</v>
      </c>
    </row>
    <row r="2682" spans="1:4" x14ac:dyDescent="0.25">
      <c r="A2682" t="s">
        <v>438</v>
      </c>
      <c r="B2682" t="s">
        <v>157</v>
      </c>
      <c r="C2682" s="2">
        <f>HYPERLINK("https://svao.dolgi.msk.ru/account/1760078921/", 1760078921)</f>
        <v>1760078921</v>
      </c>
      <c r="D2682">
        <v>3692.62</v>
      </c>
    </row>
    <row r="2683" spans="1:4" x14ac:dyDescent="0.25">
      <c r="A2683" t="s">
        <v>438</v>
      </c>
      <c r="B2683" t="s">
        <v>58</v>
      </c>
      <c r="C2683" s="2">
        <f>HYPERLINK("https://svao.dolgi.msk.ru/account/1760079019/", 1760079019)</f>
        <v>1760079019</v>
      </c>
      <c r="D2683">
        <v>6764.29</v>
      </c>
    </row>
    <row r="2684" spans="1:4" x14ac:dyDescent="0.25">
      <c r="A2684" t="s">
        <v>438</v>
      </c>
      <c r="B2684" t="s">
        <v>336</v>
      </c>
      <c r="C2684" s="2">
        <f>HYPERLINK("https://svao.dolgi.msk.ru/account/1760079078/", 1760079078)</f>
        <v>1760079078</v>
      </c>
      <c r="D2684">
        <v>266487.27</v>
      </c>
    </row>
    <row r="2685" spans="1:4" x14ac:dyDescent="0.25">
      <c r="A2685" t="s">
        <v>438</v>
      </c>
      <c r="B2685" t="s">
        <v>378</v>
      </c>
      <c r="C2685" s="2">
        <f>HYPERLINK("https://svao.dolgi.msk.ru/account/1760079094/", 1760079094)</f>
        <v>1760079094</v>
      </c>
      <c r="D2685">
        <v>1445.75</v>
      </c>
    </row>
    <row r="2686" spans="1:4" x14ac:dyDescent="0.25">
      <c r="A2686" t="s">
        <v>438</v>
      </c>
      <c r="B2686" t="s">
        <v>61</v>
      </c>
      <c r="C2686" s="2">
        <f>HYPERLINK("https://svao.dolgi.msk.ru/account/1760079131/", 1760079131)</f>
        <v>1760079131</v>
      </c>
      <c r="D2686">
        <v>10588.98</v>
      </c>
    </row>
    <row r="2687" spans="1:4" x14ac:dyDescent="0.25">
      <c r="A2687" t="s">
        <v>438</v>
      </c>
      <c r="B2687" t="s">
        <v>257</v>
      </c>
      <c r="C2687" s="2">
        <f>HYPERLINK("https://svao.dolgi.msk.ru/account/1760079203/", 1760079203)</f>
        <v>1760079203</v>
      </c>
      <c r="D2687">
        <v>3110.09</v>
      </c>
    </row>
    <row r="2688" spans="1:4" x14ac:dyDescent="0.25">
      <c r="A2688" t="s">
        <v>438</v>
      </c>
      <c r="B2688" t="s">
        <v>344</v>
      </c>
      <c r="C2688" s="2">
        <f>HYPERLINK("https://svao.dolgi.msk.ru/account/1760079211/", 1760079211)</f>
        <v>1760079211</v>
      </c>
      <c r="D2688">
        <v>7245.92</v>
      </c>
    </row>
    <row r="2689" spans="1:4" x14ac:dyDescent="0.25">
      <c r="A2689" t="s">
        <v>438</v>
      </c>
      <c r="B2689" t="s">
        <v>65</v>
      </c>
      <c r="C2689" s="2">
        <f>HYPERLINK("https://svao.dolgi.msk.ru/account/1760079262/", 1760079262)</f>
        <v>1760079262</v>
      </c>
      <c r="D2689">
        <v>6240.05</v>
      </c>
    </row>
    <row r="2690" spans="1:4" x14ac:dyDescent="0.25">
      <c r="A2690" t="s">
        <v>438</v>
      </c>
      <c r="B2690" t="s">
        <v>161</v>
      </c>
      <c r="C2690" s="2">
        <f>HYPERLINK("https://svao.dolgi.msk.ru/account/1760079318/", 1760079318)</f>
        <v>1760079318</v>
      </c>
      <c r="D2690">
        <v>5979.86</v>
      </c>
    </row>
    <row r="2691" spans="1:4" x14ac:dyDescent="0.25">
      <c r="A2691" t="s">
        <v>438</v>
      </c>
      <c r="B2691" t="s">
        <v>379</v>
      </c>
      <c r="C2691" s="2">
        <f>HYPERLINK("https://svao.dolgi.msk.ru/account/1760079342/", 1760079342)</f>
        <v>1760079342</v>
      </c>
      <c r="D2691">
        <v>7798.13</v>
      </c>
    </row>
    <row r="2692" spans="1:4" x14ac:dyDescent="0.25">
      <c r="A2692" t="s">
        <v>438</v>
      </c>
      <c r="B2692" t="s">
        <v>439</v>
      </c>
      <c r="C2692" s="2">
        <f>HYPERLINK("https://svao.dolgi.msk.ru/account/1760079377/", 1760079377)</f>
        <v>1760079377</v>
      </c>
      <c r="D2692">
        <v>8081.51</v>
      </c>
    </row>
    <row r="2693" spans="1:4" x14ac:dyDescent="0.25">
      <c r="A2693" t="s">
        <v>438</v>
      </c>
      <c r="B2693" t="s">
        <v>162</v>
      </c>
      <c r="C2693" s="2">
        <f>HYPERLINK("https://svao.dolgi.msk.ru/account/1760079393/", 1760079393)</f>
        <v>1760079393</v>
      </c>
      <c r="D2693">
        <v>45032.05</v>
      </c>
    </row>
    <row r="2694" spans="1:4" x14ac:dyDescent="0.25">
      <c r="A2694" t="s">
        <v>438</v>
      </c>
      <c r="B2694" t="s">
        <v>416</v>
      </c>
      <c r="C2694" s="2">
        <f>HYPERLINK("https://svao.dolgi.msk.ru/account/1760079529/", 1760079529)</f>
        <v>1760079529</v>
      </c>
      <c r="D2694">
        <v>221240.19</v>
      </c>
    </row>
    <row r="2695" spans="1:4" x14ac:dyDescent="0.25">
      <c r="A2695" t="s">
        <v>438</v>
      </c>
      <c r="B2695" t="s">
        <v>71</v>
      </c>
      <c r="C2695" s="2">
        <f>HYPERLINK("https://svao.dolgi.msk.ru/account/1760079537/", 1760079537)</f>
        <v>1760079537</v>
      </c>
      <c r="D2695">
        <v>6684.88</v>
      </c>
    </row>
    <row r="2696" spans="1:4" x14ac:dyDescent="0.25">
      <c r="A2696" t="s">
        <v>438</v>
      </c>
      <c r="B2696" t="s">
        <v>71</v>
      </c>
      <c r="C2696" s="2">
        <f>HYPERLINK("https://svao.dolgi.msk.ru/account/1760271596/", 1760271596)</f>
        <v>1760271596</v>
      </c>
      <c r="D2696">
        <v>3529.65</v>
      </c>
    </row>
    <row r="2697" spans="1:4" x14ac:dyDescent="0.25">
      <c r="A2697" t="s">
        <v>438</v>
      </c>
      <c r="B2697" t="s">
        <v>263</v>
      </c>
      <c r="C2697" s="2">
        <f>HYPERLINK("https://svao.dolgi.msk.ru/account/1760079748/", 1760079748)</f>
        <v>1760079748</v>
      </c>
      <c r="D2697">
        <v>576.53</v>
      </c>
    </row>
    <row r="2698" spans="1:4" x14ac:dyDescent="0.25">
      <c r="A2698" t="s">
        <v>438</v>
      </c>
      <c r="B2698" t="s">
        <v>263</v>
      </c>
      <c r="C2698" s="2">
        <f>HYPERLINK("https://svao.dolgi.msk.ru/account/1760079756/", 1760079756)</f>
        <v>1760079756</v>
      </c>
      <c r="D2698">
        <v>103.21</v>
      </c>
    </row>
    <row r="2699" spans="1:4" x14ac:dyDescent="0.25">
      <c r="A2699" t="s">
        <v>440</v>
      </c>
      <c r="B2699" t="s">
        <v>41</v>
      </c>
      <c r="C2699" s="2">
        <f>HYPERLINK("https://svao.dolgi.msk.ru/account/1768039644/", 1768039644)</f>
        <v>1768039644</v>
      </c>
      <c r="D2699">
        <v>1610.01</v>
      </c>
    </row>
    <row r="2700" spans="1:4" x14ac:dyDescent="0.25">
      <c r="A2700" t="s">
        <v>440</v>
      </c>
      <c r="B2700" t="s">
        <v>141</v>
      </c>
      <c r="C2700" s="2">
        <f>HYPERLINK("https://svao.dolgi.msk.ru/account/1768002497/", 1768002497)</f>
        <v>1768002497</v>
      </c>
      <c r="D2700">
        <v>164.9</v>
      </c>
    </row>
    <row r="2701" spans="1:4" x14ac:dyDescent="0.25">
      <c r="A2701" t="s">
        <v>440</v>
      </c>
      <c r="B2701" t="s">
        <v>73</v>
      </c>
      <c r="C2701" s="2">
        <f>HYPERLINK("https://svao.dolgi.msk.ru/account/1768039695/", 1768039695)</f>
        <v>1768039695</v>
      </c>
      <c r="D2701">
        <v>2691.08</v>
      </c>
    </row>
    <row r="2702" spans="1:4" x14ac:dyDescent="0.25">
      <c r="A2702" t="s">
        <v>440</v>
      </c>
      <c r="B2702" t="s">
        <v>104</v>
      </c>
      <c r="C2702" s="2">
        <f>HYPERLINK("https://svao.dolgi.msk.ru/account/1768039708/", 1768039708)</f>
        <v>1768039708</v>
      </c>
      <c r="D2702">
        <v>1493.49</v>
      </c>
    </row>
    <row r="2703" spans="1:4" x14ac:dyDescent="0.25">
      <c r="A2703" t="s">
        <v>440</v>
      </c>
      <c r="B2703" t="s">
        <v>137</v>
      </c>
      <c r="C2703" s="2">
        <f>HYPERLINK("https://svao.dolgi.msk.ru/account/1768039732/", 1768039732)</f>
        <v>1768039732</v>
      </c>
      <c r="D2703">
        <v>509.21</v>
      </c>
    </row>
    <row r="2704" spans="1:4" x14ac:dyDescent="0.25">
      <c r="A2704" t="s">
        <v>440</v>
      </c>
      <c r="B2704" t="s">
        <v>75</v>
      </c>
      <c r="C2704" s="2">
        <f>HYPERLINK("https://svao.dolgi.msk.ru/account/1768039759/", 1768039759)</f>
        <v>1768039759</v>
      </c>
      <c r="D2704">
        <v>174.89</v>
      </c>
    </row>
    <row r="2705" spans="1:4" x14ac:dyDescent="0.25">
      <c r="A2705" t="s">
        <v>440</v>
      </c>
      <c r="B2705" t="s">
        <v>13</v>
      </c>
      <c r="C2705" s="2">
        <f>HYPERLINK("https://svao.dolgi.msk.ru/account/1768039812/", 1768039812)</f>
        <v>1768039812</v>
      </c>
      <c r="D2705">
        <v>429.44</v>
      </c>
    </row>
    <row r="2706" spans="1:4" x14ac:dyDescent="0.25">
      <c r="A2706" t="s">
        <v>440</v>
      </c>
      <c r="B2706" t="s">
        <v>14</v>
      </c>
      <c r="C2706" s="2">
        <f>HYPERLINK("https://svao.dolgi.msk.ru/account/1768039839/", 1768039839)</f>
        <v>1768039839</v>
      </c>
      <c r="D2706">
        <v>375.73</v>
      </c>
    </row>
    <row r="2707" spans="1:4" x14ac:dyDescent="0.25">
      <c r="A2707" t="s">
        <v>440</v>
      </c>
      <c r="B2707" t="s">
        <v>108</v>
      </c>
      <c r="C2707" s="2">
        <f>HYPERLINK("https://svao.dolgi.msk.ru/account/1768039871/", 1768039871)</f>
        <v>1768039871</v>
      </c>
      <c r="D2707">
        <v>110.06</v>
      </c>
    </row>
    <row r="2708" spans="1:4" x14ac:dyDescent="0.25">
      <c r="A2708" t="s">
        <v>440</v>
      </c>
      <c r="B2708" t="s">
        <v>16</v>
      </c>
      <c r="C2708" s="2">
        <f>HYPERLINK("https://svao.dolgi.msk.ru/account/1768039898/", 1768039898)</f>
        <v>1768039898</v>
      </c>
      <c r="D2708">
        <v>598.21</v>
      </c>
    </row>
    <row r="2709" spans="1:4" x14ac:dyDescent="0.25">
      <c r="A2709" t="s">
        <v>440</v>
      </c>
      <c r="B2709" t="s">
        <v>76</v>
      </c>
      <c r="C2709" s="2">
        <f>HYPERLINK("https://svao.dolgi.msk.ru/account/1768039978/", 1768039978)</f>
        <v>1768039978</v>
      </c>
      <c r="D2709">
        <v>2238.5100000000002</v>
      </c>
    </row>
    <row r="2710" spans="1:4" x14ac:dyDescent="0.25">
      <c r="A2710" t="s">
        <v>440</v>
      </c>
      <c r="B2710" t="s">
        <v>112</v>
      </c>
      <c r="C2710" s="2">
        <f>HYPERLINK("https://svao.dolgi.msk.ru/account/1768040039/", 1768040039)</f>
        <v>1768040039</v>
      </c>
      <c r="D2710">
        <v>3326.38</v>
      </c>
    </row>
    <row r="2711" spans="1:4" x14ac:dyDescent="0.25">
      <c r="A2711" t="s">
        <v>440</v>
      </c>
      <c r="B2711" t="s">
        <v>113</v>
      </c>
      <c r="C2711" s="2">
        <f>HYPERLINK("https://svao.dolgi.msk.ru/account/1768002657/", 1768002657)</f>
        <v>1768002657</v>
      </c>
      <c r="D2711">
        <v>49430.8</v>
      </c>
    </row>
    <row r="2712" spans="1:4" x14ac:dyDescent="0.25">
      <c r="A2712" t="s">
        <v>440</v>
      </c>
      <c r="B2712" t="s">
        <v>77</v>
      </c>
      <c r="C2712" s="2">
        <f>HYPERLINK("https://svao.dolgi.msk.ru/account/1768040055/", 1768040055)</f>
        <v>1768040055</v>
      </c>
      <c r="D2712">
        <v>223.76</v>
      </c>
    </row>
    <row r="2713" spans="1:4" x14ac:dyDescent="0.25">
      <c r="A2713" t="s">
        <v>440</v>
      </c>
      <c r="B2713" t="s">
        <v>124</v>
      </c>
      <c r="C2713" s="2">
        <f>HYPERLINK("https://svao.dolgi.msk.ru/account/1768040127/", 1768040127)</f>
        <v>1768040127</v>
      </c>
      <c r="D2713">
        <v>1040.23</v>
      </c>
    </row>
    <row r="2714" spans="1:4" x14ac:dyDescent="0.25">
      <c r="A2714" t="s">
        <v>440</v>
      </c>
      <c r="B2714" t="s">
        <v>24</v>
      </c>
      <c r="C2714" s="2">
        <f>HYPERLINK("https://svao.dolgi.msk.ru/account/1768040178/", 1768040178)</f>
        <v>1768040178</v>
      </c>
      <c r="D2714">
        <v>6820.34</v>
      </c>
    </row>
    <row r="2715" spans="1:4" x14ac:dyDescent="0.25">
      <c r="A2715" t="s">
        <v>440</v>
      </c>
      <c r="B2715" t="s">
        <v>242</v>
      </c>
      <c r="C2715" s="2">
        <f>HYPERLINK("https://svao.dolgi.msk.ru/account/1768040194/", 1768040194)</f>
        <v>1768040194</v>
      </c>
      <c r="D2715">
        <v>2749.04</v>
      </c>
    </row>
    <row r="2716" spans="1:4" x14ac:dyDescent="0.25">
      <c r="A2716" t="s">
        <v>440</v>
      </c>
      <c r="B2716" t="s">
        <v>95</v>
      </c>
      <c r="C2716" s="2">
        <f>HYPERLINK("https://svao.dolgi.msk.ru/account/1768040207/", 1768040207)</f>
        <v>1768040207</v>
      </c>
      <c r="D2716">
        <v>170.07</v>
      </c>
    </row>
    <row r="2717" spans="1:4" x14ac:dyDescent="0.25">
      <c r="A2717" t="s">
        <v>440</v>
      </c>
      <c r="B2717" t="s">
        <v>125</v>
      </c>
      <c r="C2717" s="2">
        <f>HYPERLINK("https://svao.dolgi.msk.ru/account/1768002542/", 1768002542)</f>
        <v>1768002542</v>
      </c>
      <c r="D2717">
        <v>163.19</v>
      </c>
    </row>
    <row r="2718" spans="1:4" x14ac:dyDescent="0.25">
      <c r="A2718" t="s">
        <v>440</v>
      </c>
      <c r="B2718" t="s">
        <v>126</v>
      </c>
      <c r="C2718" s="2">
        <f>HYPERLINK("https://svao.dolgi.msk.ru/account/1768040223/", 1768040223)</f>
        <v>1768040223</v>
      </c>
      <c r="D2718">
        <v>100.26</v>
      </c>
    </row>
    <row r="2719" spans="1:4" x14ac:dyDescent="0.25">
      <c r="A2719" t="s">
        <v>440</v>
      </c>
      <c r="B2719" t="s">
        <v>80</v>
      </c>
      <c r="C2719" s="2">
        <f>HYPERLINK("https://svao.dolgi.msk.ru/account/1768040231/", 1768040231)</f>
        <v>1768040231</v>
      </c>
      <c r="D2719">
        <v>191.36</v>
      </c>
    </row>
    <row r="2720" spans="1:4" x14ac:dyDescent="0.25">
      <c r="A2720" t="s">
        <v>440</v>
      </c>
      <c r="B2720" t="s">
        <v>118</v>
      </c>
      <c r="C2720" s="2">
        <f>HYPERLINK("https://svao.dolgi.msk.ru/account/1768040258/", 1768040258)</f>
        <v>1768040258</v>
      </c>
      <c r="D2720">
        <v>54640.36</v>
      </c>
    </row>
    <row r="2721" spans="1:4" x14ac:dyDescent="0.25">
      <c r="A2721" t="s">
        <v>440</v>
      </c>
      <c r="B2721" t="s">
        <v>127</v>
      </c>
      <c r="C2721" s="2">
        <f>HYPERLINK("https://svao.dolgi.msk.ru/account/1768040266/", 1768040266)</f>
        <v>1768040266</v>
      </c>
      <c r="D2721">
        <v>1990.46</v>
      </c>
    </row>
    <row r="2722" spans="1:4" x14ac:dyDescent="0.25">
      <c r="A2722" t="s">
        <v>440</v>
      </c>
      <c r="B2722" t="s">
        <v>120</v>
      </c>
      <c r="C2722" s="2">
        <f>HYPERLINK("https://svao.dolgi.msk.ru/account/1768040303/", 1768040303)</f>
        <v>1768040303</v>
      </c>
      <c r="D2722">
        <v>1394.27</v>
      </c>
    </row>
    <row r="2723" spans="1:4" x14ac:dyDescent="0.25">
      <c r="A2723" t="s">
        <v>440</v>
      </c>
      <c r="B2723" t="s">
        <v>128</v>
      </c>
      <c r="C2723" s="2">
        <f>HYPERLINK("https://svao.dolgi.msk.ru/account/1768040338/", 1768040338)</f>
        <v>1768040338</v>
      </c>
      <c r="D2723">
        <v>1413.67</v>
      </c>
    </row>
    <row r="2724" spans="1:4" x14ac:dyDescent="0.25">
      <c r="A2724" t="s">
        <v>440</v>
      </c>
      <c r="B2724" t="s">
        <v>25</v>
      </c>
      <c r="C2724" s="2">
        <f>HYPERLINK("https://svao.dolgi.msk.ru/account/1768040346/", 1768040346)</f>
        <v>1768040346</v>
      </c>
      <c r="D2724">
        <v>1674.9</v>
      </c>
    </row>
    <row r="2725" spans="1:4" x14ac:dyDescent="0.25">
      <c r="A2725" t="s">
        <v>440</v>
      </c>
      <c r="B2725" t="s">
        <v>83</v>
      </c>
      <c r="C2725" s="2">
        <f>HYPERLINK("https://svao.dolgi.msk.ru/account/1768040354/", 1768040354)</f>
        <v>1768040354</v>
      </c>
      <c r="D2725">
        <v>999.12</v>
      </c>
    </row>
    <row r="2726" spans="1:4" x14ac:dyDescent="0.25">
      <c r="A2726" t="s">
        <v>440</v>
      </c>
      <c r="B2726" t="s">
        <v>26</v>
      </c>
      <c r="C2726" s="2">
        <f>HYPERLINK("https://svao.dolgi.msk.ru/account/1768040389/", 1768040389)</f>
        <v>1768040389</v>
      </c>
      <c r="D2726">
        <v>111.45</v>
      </c>
    </row>
    <row r="2727" spans="1:4" x14ac:dyDescent="0.25">
      <c r="A2727" t="s">
        <v>440</v>
      </c>
      <c r="B2727" t="s">
        <v>27</v>
      </c>
      <c r="C2727" s="2">
        <f>HYPERLINK("https://svao.dolgi.msk.ru/account/1768040426/", 1768040426)</f>
        <v>1768040426</v>
      </c>
      <c r="D2727">
        <v>1584.55</v>
      </c>
    </row>
    <row r="2728" spans="1:4" x14ac:dyDescent="0.25">
      <c r="A2728" t="s">
        <v>440</v>
      </c>
      <c r="B2728" t="s">
        <v>290</v>
      </c>
      <c r="C2728" s="2">
        <f>HYPERLINK("https://svao.dolgi.msk.ru/account/1768040434/", 1768040434)</f>
        <v>1768040434</v>
      </c>
      <c r="D2728">
        <v>314.04000000000002</v>
      </c>
    </row>
    <row r="2729" spans="1:4" x14ac:dyDescent="0.25">
      <c r="A2729" t="s">
        <v>440</v>
      </c>
      <c r="B2729" t="s">
        <v>244</v>
      </c>
      <c r="C2729" s="2">
        <f>HYPERLINK("https://svao.dolgi.msk.ru/account/1768002614/", 1768002614)</f>
        <v>1768002614</v>
      </c>
      <c r="D2729">
        <v>2016.29</v>
      </c>
    </row>
    <row r="2730" spans="1:4" x14ac:dyDescent="0.25">
      <c r="A2730" t="s">
        <v>440</v>
      </c>
      <c r="B2730" t="s">
        <v>129</v>
      </c>
      <c r="C2730" s="2">
        <f>HYPERLINK("https://svao.dolgi.msk.ru/account/1768040493/", 1768040493)</f>
        <v>1768040493</v>
      </c>
      <c r="D2730">
        <v>164.83</v>
      </c>
    </row>
    <row r="2731" spans="1:4" x14ac:dyDescent="0.25">
      <c r="A2731" t="s">
        <v>440</v>
      </c>
      <c r="B2731" t="s">
        <v>84</v>
      </c>
      <c r="C2731" s="2">
        <f>HYPERLINK("https://svao.dolgi.msk.ru/account/1768026317/", 1768026317)</f>
        <v>1768026317</v>
      </c>
      <c r="D2731">
        <v>15907.48</v>
      </c>
    </row>
    <row r="2732" spans="1:4" x14ac:dyDescent="0.25">
      <c r="A2732" t="s">
        <v>440</v>
      </c>
      <c r="B2732" t="s">
        <v>291</v>
      </c>
      <c r="C2732" s="2">
        <f>HYPERLINK("https://svao.dolgi.msk.ru/account/1768040549/", 1768040549)</f>
        <v>1768040549</v>
      </c>
      <c r="D2732">
        <v>169.32</v>
      </c>
    </row>
    <row r="2733" spans="1:4" x14ac:dyDescent="0.25">
      <c r="A2733" t="s">
        <v>440</v>
      </c>
      <c r="B2733" t="s">
        <v>245</v>
      </c>
      <c r="C2733" s="2">
        <f>HYPERLINK("https://svao.dolgi.msk.ru/account/1768040557/", 1768040557)</f>
        <v>1768040557</v>
      </c>
      <c r="D2733">
        <v>426.48</v>
      </c>
    </row>
    <row r="2734" spans="1:4" x14ac:dyDescent="0.25">
      <c r="A2734" t="s">
        <v>440</v>
      </c>
      <c r="B2734" t="s">
        <v>32</v>
      </c>
      <c r="C2734" s="2">
        <f>HYPERLINK("https://svao.dolgi.msk.ru/account/1768040565/", 1768040565)</f>
        <v>1768040565</v>
      </c>
      <c r="D2734">
        <v>159.36000000000001</v>
      </c>
    </row>
    <row r="2735" spans="1:4" x14ac:dyDescent="0.25">
      <c r="A2735" t="s">
        <v>440</v>
      </c>
      <c r="B2735" t="s">
        <v>33</v>
      </c>
      <c r="C2735" s="2">
        <f>HYPERLINK("https://svao.dolgi.msk.ru/account/1768040581/", 1768040581)</f>
        <v>1768040581</v>
      </c>
      <c r="D2735">
        <v>5283.22</v>
      </c>
    </row>
    <row r="2736" spans="1:4" x14ac:dyDescent="0.25">
      <c r="A2736" t="s">
        <v>440</v>
      </c>
      <c r="B2736" t="s">
        <v>34</v>
      </c>
      <c r="C2736" s="2">
        <f>HYPERLINK("https://svao.dolgi.msk.ru/account/1768002577/", 1768002577)</f>
        <v>1768002577</v>
      </c>
      <c r="D2736">
        <v>2948.27</v>
      </c>
    </row>
    <row r="2737" spans="1:4" x14ac:dyDescent="0.25">
      <c r="A2737" t="s">
        <v>440</v>
      </c>
      <c r="B2737" t="s">
        <v>99</v>
      </c>
      <c r="C2737" s="2">
        <f>HYPERLINK("https://svao.dolgi.msk.ru/account/1768040602/", 1768040602)</f>
        <v>1768040602</v>
      </c>
      <c r="D2737">
        <v>1343.36</v>
      </c>
    </row>
    <row r="2738" spans="1:4" x14ac:dyDescent="0.25">
      <c r="A2738" t="s">
        <v>440</v>
      </c>
      <c r="B2738" t="s">
        <v>135</v>
      </c>
      <c r="C2738" s="2">
        <f>HYPERLINK("https://svao.dolgi.msk.ru/account/1768040629/", 1768040629)</f>
        <v>1768040629</v>
      </c>
      <c r="D2738">
        <v>1412.64</v>
      </c>
    </row>
    <row r="2739" spans="1:4" x14ac:dyDescent="0.25">
      <c r="A2739" t="s">
        <v>440</v>
      </c>
      <c r="B2739" t="s">
        <v>333</v>
      </c>
      <c r="C2739" s="2">
        <f>HYPERLINK("https://svao.dolgi.msk.ru/account/1768040637/", 1768040637)</f>
        <v>1768040637</v>
      </c>
      <c r="D2739">
        <v>1858.06</v>
      </c>
    </row>
    <row r="2740" spans="1:4" x14ac:dyDescent="0.25">
      <c r="A2740" t="s">
        <v>440</v>
      </c>
      <c r="B2740" t="s">
        <v>87</v>
      </c>
      <c r="C2740" s="2">
        <f>HYPERLINK("https://svao.dolgi.msk.ru/account/1768040645/", 1768040645)</f>
        <v>1768040645</v>
      </c>
      <c r="D2740">
        <v>62019.66</v>
      </c>
    </row>
    <row r="2741" spans="1:4" x14ac:dyDescent="0.25">
      <c r="A2741" t="s">
        <v>440</v>
      </c>
      <c r="B2741" t="s">
        <v>40</v>
      </c>
      <c r="C2741" s="2">
        <f>HYPERLINK("https://svao.dolgi.msk.ru/account/1768040709/", 1768040709)</f>
        <v>1768040709</v>
      </c>
      <c r="D2741">
        <v>1334.96</v>
      </c>
    </row>
    <row r="2742" spans="1:4" x14ac:dyDescent="0.25">
      <c r="A2742" t="s">
        <v>440</v>
      </c>
      <c r="B2742" t="s">
        <v>43</v>
      </c>
      <c r="C2742" s="2">
        <f>HYPERLINK("https://svao.dolgi.msk.ru/account/1768040717/", 1768040717)</f>
        <v>1768040717</v>
      </c>
      <c r="D2742">
        <v>318.27999999999997</v>
      </c>
    </row>
    <row r="2743" spans="1:4" x14ac:dyDescent="0.25">
      <c r="A2743" t="s">
        <v>440</v>
      </c>
      <c r="B2743" t="s">
        <v>140</v>
      </c>
      <c r="C2743" s="2">
        <f>HYPERLINK("https://svao.dolgi.msk.ru/account/1768040725/", 1768040725)</f>
        <v>1768040725</v>
      </c>
      <c r="D2743">
        <v>1097.71</v>
      </c>
    </row>
    <row r="2744" spans="1:4" x14ac:dyDescent="0.25">
      <c r="A2744" t="s">
        <v>440</v>
      </c>
      <c r="B2744" t="s">
        <v>142</v>
      </c>
      <c r="C2744" s="2">
        <f>HYPERLINK("https://svao.dolgi.msk.ru/account/1768040768/", 1768040768)</f>
        <v>1768040768</v>
      </c>
      <c r="D2744">
        <v>100.1</v>
      </c>
    </row>
    <row r="2745" spans="1:4" x14ac:dyDescent="0.25">
      <c r="A2745" t="s">
        <v>440</v>
      </c>
      <c r="B2745" t="s">
        <v>143</v>
      </c>
      <c r="C2745" s="2">
        <f>HYPERLINK("https://svao.dolgi.msk.ru/account/1768040792/", 1768040792)</f>
        <v>1768040792</v>
      </c>
      <c r="D2745">
        <v>427.79</v>
      </c>
    </row>
    <row r="2746" spans="1:4" x14ac:dyDescent="0.25">
      <c r="A2746" t="s">
        <v>440</v>
      </c>
      <c r="B2746" t="s">
        <v>301</v>
      </c>
      <c r="C2746" s="2">
        <f>HYPERLINK("https://svao.dolgi.msk.ru/account/1768040848/", 1768040848)</f>
        <v>1768040848</v>
      </c>
      <c r="D2746">
        <v>2854.48</v>
      </c>
    </row>
    <row r="2747" spans="1:4" x14ac:dyDescent="0.25">
      <c r="A2747" t="s">
        <v>440</v>
      </c>
      <c r="B2747" t="s">
        <v>248</v>
      </c>
      <c r="C2747" s="2">
        <f>HYPERLINK("https://svao.dolgi.msk.ru/account/1768040856/", 1768040856)</f>
        <v>1768040856</v>
      </c>
      <c r="D2747">
        <v>45140.94</v>
      </c>
    </row>
    <row r="2748" spans="1:4" x14ac:dyDescent="0.25">
      <c r="A2748" t="s">
        <v>440</v>
      </c>
      <c r="B2748" t="s">
        <v>46</v>
      </c>
      <c r="C2748" s="2">
        <f>HYPERLINK("https://svao.dolgi.msk.ru/account/1768040864/", 1768040864)</f>
        <v>1768040864</v>
      </c>
      <c r="D2748">
        <v>1403.01</v>
      </c>
    </row>
    <row r="2749" spans="1:4" x14ac:dyDescent="0.25">
      <c r="A2749" t="s">
        <v>440</v>
      </c>
      <c r="B2749" t="s">
        <v>339</v>
      </c>
      <c r="C2749" s="2">
        <f>HYPERLINK("https://svao.dolgi.msk.ru/account/1768040901/", 1768040901)</f>
        <v>1768040901</v>
      </c>
      <c r="D2749">
        <v>282.7</v>
      </c>
    </row>
    <row r="2750" spans="1:4" x14ac:dyDescent="0.25">
      <c r="A2750" t="s">
        <v>440</v>
      </c>
      <c r="B2750" t="s">
        <v>47</v>
      </c>
      <c r="C2750" s="2">
        <f>HYPERLINK("https://svao.dolgi.msk.ru/account/1768040928/", 1768040928)</f>
        <v>1768040928</v>
      </c>
      <c r="D2750">
        <v>1794.1</v>
      </c>
    </row>
    <row r="2751" spans="1:4" x14ac:dyDescent="0.25">
      <c r="A2751" t="s">
        <v>440</v>
      </c>
      <c r="B2751" t="s">
        <v>250</v>
      </c>
      <c r="C2751" s="2">
        <f>HYPERLINK("https://svao.dolgi.msk.ru/account/1768040936/", 1768040936)</f>
        <v>1768040936</v>
      </c>
      <c r="D2751">
        <v>2109.2199999999998</v>
      </c>
    </row>
    <row r="2752" spans="1:4" x14ac:dyDescent="0.25">
      <c r="A2752" t="s">
        <v>440</v>
      </c>
      <c r="B2752" t="s">
        <v>147</v>
      </c>
      <c r="C2752" s="2">
        <f>HYPERLINK("https://svao.dolgi.msk.ru/account/1768040995/", 1768040995)</f>
        <v>1768040995</v>
      </c>
      <c r="D2752">
        <v>1363.42</v>
      </c>
    </row>
    <row r="2753" spans="1:4" x14ac:dyDescent="0.25">
      <c r="A2753" t="s">
        <v>440</v>
      </c>
      <c r="B2753" t="s">
        <v>306</v>
      </c>
      <c r="C2753" s="2">
        <f>HYPERLINK("https://svao.dolgi.msk.ru/account/1768041023/", 1768041023)</f>
        <v>1768041023</v>
      </c>
      <c r="D2753">
        <v>895.29</v>
      </c>
    </row>
    <row r="2754" spans="1:4" x14ac:dyDescent="0.25">
      <c r="A2754" t="s">
        <v>440</v>
      </c>
      <c r="B2754" t="s">
        <v>50</v>
      </c>
      <c r="C2754" s="2">
        <f>HYPERLINK("https://svao.dolgi.msk.ru/account/1768041031/", 1768041031)</f>
        <v>1768041031</v>
      </c>
      <c r="D2754">
        <v>699.27</v>
      </c>
    </row>
    <row r="2755" spans="1:4" x14ac:dyDescent="0.25">
      <c r="A2755" t="s">
        <v>440</v>
      </c>
      <c r="B2755" t="s">
        <v>331</v>
      </c>
      <c r="C2755" s="2">
        <f>HYPERLINK("https://svao.dolgi.msk.ru/account/1768041074/", 1768041074)</f>
        <v>1768041074</v>
      </c>
      <c r="D2755">
        <v>1905.16</v>
      </c>
    </row>
    <row r="2756" spans="1:4" x14ac:dyDescent="0.25">
      <c r="A2756" t="s">
        <v>440</v>
      </c>
      <c r="B2756" t="s">
        <v>52</v>
      </c>
      <c r="C2756" s="2">
        <f>HYPERLINK("https://svao.dolgi.msk.ru/account/1768041082/", 1768041082)</f>
        <v>1768041082</v>
      </c>
      <c r="D2756">
        <v>5009.51</v>
      </c>
    </row>
    <row r="2757" spans="1:4" x14ac:dyDescent="0.25">
      <c r="A2757" t="s">
        <v>441</v>
      </c>
      <c r="B2757" t="s">
        <v>102</v>
      </c>
      <c r="C2757" s="2">
        <f>HYPERLINK("https://svao.dolgi.msk.ru/account/1760079895/", 1760079895)</f>
        <v>1760079895</v>
      </c>
      <c r="D2757">
        <v>2024.59</v>
      </c>
    </row>
    <row r="2758" spans="1:4" x14ac:dyDescent="0.25">
      <c r="A2758" t="s">
        <v>441</v>
      </c>
      <c r="B2758" t="s">
        <v>13</v>
      </c>
      <c r="C2758" s="2">
        <f>HYPERLINK("https://svao.dolgi.msk.ru/account/1760080052/", 1760080052)</f>
        <v>1760080052</v>
      </c>
      <c r="D2758">
        <v>7149.44</v>
      </c>
    </row>
    <row r="2759" spans="1:4" x14ac:dyDescent="0.25">
      <c r="A2759" t="s">
        <v>441</v>
      </c>
      <c r="B2759" t="s">
        <v>14</v>
      </c>
      <c r="C2759" s="2">
        <f>HYPERLINK("https://svao.dolgi.msk.ru/account/1760080079/", 1760080079)</f>
        <v>1760080079</v>
      </c>
      <c r="D2759">
        <v>5656.26</v>
      </c>
    </row>
    <row r="2760" spans="1:4" x14ac:dyDescent="0.25">
      <c r="A2760" t="s">
        <v>441</v>
      </c>
      <c r="B2760" t="s">
        <v>107</v>
      </c>
      <c r="C2760" s="2">
        <f>HYPERLINK("https://svao.dolgi.msk.ru/account/1760080095/", 1760080095)</f>
        <v>1760080095</v>
      </c>
      <c r="D2760">
        <v>121.16</v>
      </c>
    </row>
    <row r="2761" spans="1:4" x14ac:dyDescent="0.25">
      <c r="A2761" t="s">
        <v>441</v>
      </c>
      <c r="B2761" t="s">
        <v>15</v>
      </c>
      <c r="C2761" s="2">
        <f>HYPERLINK("https://svao.dolgi.msk.ru/account/1760080108/", 1760080108)</f>
        <v>1760080108</v>
      </c>
      <c r="D2761">
        <v>5311.28</v>
      </c>
    </row>
    <row r="2762" spans="1:4" x14ac:dyDescent="0.25">
      <c r="A2762" t="s">
        <v>441</v>
      </c>
      <c r="B2762" t="s">
        <v>18</v>
      </c>
      <c r="C2762" s="2">
        <f>HYPERLINK("https://svao.dolgi.msk.ru/account/1760080159/", 1760080159)</f>
        <v>1760080159</v>
      </c>
      <c r="D2762">
        <v>1149.6099999999999</v>
      </c>
    </row>
    <row r="2763" spans="1:4" x14ac:dyDescent="0.25">
      <c r="A2763" t="s">
        <v>441</v>
      </c>
      <c r="B2763" t="s">
        <v>109</v>
      </c>
      <c r="C2763" s="2">
        <f>HYPERLINK("https://svao.dolgi.msk.ru/account/1760080175/", 1760080175)</f>
        <v>1760080175</v>
      </c>
      <c r="D2763">
        <v>2788.82</v>
      </c>
    </row>
    <row r="2764" spans="1:4" x14ac:dyDescent="0.25">
      <c r="A2764" t="s">
        <v>441</v>
      </c>
      <c r="B2764" t="s">
        <v>110</v>
      </c>
      <c r="C2764" s="2">
        <f>HYPERLINK("https://svao.dolgi.msk.ru/account/1760080183/", 1760080183)</f>
        <v>1760080183</v>
      </c>
      <c r="D2764">
        <v>3740.27</v>
      </c>
    </row>
    <row r="2765" spans="1:4" x14ac:dyDescent="0.25">
      <c r="A2765" t="s">
        <v>441</v>
      </c>
      <c r="B2765" t="s">
        <v>20</v>
      </c>
      <c r="C2765" s="2">
        <f>HYPERLINK("https://svao.dolgi.msk.ru/account/1760080191/", 1760080191)</f>
        <v>1760080191</v>
      </c>
      <c r="D2765">
        <v>5000.55</v>
      </c>
    </row>
    <row r="2766" spans="1:4" x14ac:dyDescent="0.25">
      <c r="A2766" t="s">
        <v>441</v>
      </c>
      <c r="B2766" t="s">
        <v>92</v>
      </c>
      <c r="C2766" s="2">
        <f>HYPERLINK("https://svao.dolgi.msk.ru/account/1760080212/", 1760080212)</f>
        <v>1760080212</v>
      </c>
      <c r="D2766">
        <v>13100.76</v>
      </c>
    </row>
    <row r="2767" spans="1:4" x14ac:dyDescent="0.25">
      <c r="A2767" t="s">
        <v>441</v>
      </c>
      <c r="B2767" t="s">
        <v>111</v>
      </c>
      <c r="C2767" s="2">
        <f>HYPERLINK("https://svao.dolgi.msk.ru/account/1760080247/", 1760080247)</f>
        <v>1760080247</v>
      </c>
      <c r="D2767">
        <v>2215.34</v>
      </c>
    </row>
    <row r="2768" spans="1:4" x14ac:dyDescent="0.25">
      <c r="A2768" t="s">
        <v>441</v>
      </c>
      <c r="B2768" t="s">
        <v>94</v>
      </c>
      <c r="C2768" s="2">
        <f>HYPERLINK("https://svao.dolgi.msk.ru/account/1760080255/", 1760080255)</f>
        <v>1760080255</v>
      </c>
      <c r="D2768">
        <v>2959.15</v>
      </c>
    </row>
    <row r="2769" spans="1:4" x14ac:dyDescent="0.25">
      <c r="A2769" t="s">
        <v>441</v>
      </c>
      <c r="B2769" t="s">
        <v>113</v>
      </c>
      <c r="C2769" s="2">
        <f>HYPERLINK("https://svao.dolgi.msk.ru/account/1760080271/", 1760080271)</f>
        <v>1760080271</v>
      </c>
      <c r="D2769">
        <v>11387.07</v>
      </c>
    </row>
    <row r="2770" spans="1:4" x14ac:dyDescent="0.25">
      <c r="A2770" t="s">
        <v>441</v>
      </c>
      <c r="B2770" t="s">
        <v>21</v>
      </c>
      <c r="C2770" s="2">
        <f>HYPERLINK("https://svao.dolgi.msk.ru/account/1760080298/", 1760080298)</f>
        <v>1760080298</v>
      </c>
      <c r="D2770">
        <v>3414.55</v>
      </c>
    </row>
    <row r="2771" spans="1:4" x14ac:dyDescent="0.25">
      <c r="A2771" t="s">
        <v>441</v>
      </c>
      <c r="B2771" t="s">
        <v>77</v>
      </c>
      <c r="C2771" s="2">
        <f>HYPERLINK("https://svao.dolgi.msk.ru/account/1760080319/", 1760080319)</f>
        <v>1760080319</v>
      </c>
      <c r="D2771">
        <v>3190.37</v>
      </c>
    </row>
    <row r="2772" spans="1:4" x14ac:dyDescent="0.25">
      <c r="A2772" t="s">
        <v>441</v>
      </c>
      <c r="B2772" t="s">
        <v>78</v>
      </c>
      <c r="C2772" s="2">
        <f>HYPERLINK("https://svao.dolgi.msk.ru/account/1760080335/", 1760080335)</f>
        <v>1760080335</v>
      </c>
      <c r="D2772">
        <v>301282.36</v>
      </c>
    </row>
    <row r="2773" spans="1:4" x14ac:dyDescent="0.25">
      <c r="A2773" t="s">
        <v>441</v>
      </c>
      <c r="B2773" t="s">
        <v>242</v>
      </c>
      <c r="C2773" s="2">
        <f>HYPERLINK("https://svao.dolgi.msk.ru/account/1760080458/", 1760080458)</f>
        <v>1760080458</v>
      </c>
      <c r="D2773">
        <v>175722.41</v>
      </c>
    </row>
    <row r="2774" spans="1:4" x14ac:dyDescent="0.25">
      <c r="A2774" t="s">
        <v>441</v>
      </c>
      <c r="B2774" t="s">
        <v>127</v>
      </c>
      <c r="C2774" s="2">
        <f>HYPERLINK("https://svao.dolgi.msk.ru/account/1760080546/", 1760080546)</f>
        <v>1760080546</v>
      </c>
      <c r="D2774">
        <v>3850.85</v>
      </c>
    </row>
    <row r="2775" spans="1:4" x14ac:dyDescent="0.25">
      <c r="A2775" t="s">
        <v>441</v>
      </c>
      <c r="B2775" t="s">
        <v>81</v>
      </c>
      <c r="C2775" s="2">
        <f>HYPERLINK("https://svao.dolgi.msk.ru/account/1760080554/", 1760080554)</f>
        <v>1760080554</v>
      </c>
      <c r="D2775">
        <v>5388.96</v>
      </c>
    </row>
    <row r="2776" spans="1:4" x14ac:dyDescent="0.25">
      <c r="A2776" t="s">
        <v>441</v>
      </c>
      <c r="B2776" t="s">
        <v>128</v>
      </c>
      <c r="C2776" s="2">
        <f>HYPERLINK("https://svao.dolgi.msk.ru/account/1760080618/", 1760080618)</f>
        <v>1760080618</v>
      </c>
      <c r="D2776">
        <v>4841.1099999999997</v>
      </c>
    </row>
    <row r="2777" spans="1:4" x14ac:dyDescent="0.25">
      <c r="A2777" t="s">
        <v>441</v>
      </c>
      <c r="B2777" t="s">
        <v>25</v>
      </c>
      <c r="C2777" s="2">
        <f>HYPERLINK("https://svao.dolgi.msk.ru/account/1760080626/", 1760080626)</f>
        <v>1760080626</v>
      </c>
      <c r="D2777">
        <v>5418.78</v>
      </c>
    </row>
    <row r="2778" spans="1:4" x14ac:dyDescent="0.25">
      <c r="A2778" t="s">
        <v>441</v>
      </c>
      <c r="B2778" t="s">
        <v>27</v>
      </c>
      <c r="C2778" s="2">
        <f>HYPERLINK("https://svao.dolgi.msk.ru/account/1760080685/", 1760080685)</f>
        <v>1760080685</v>
      </c>
      <c r="D2778">
        <v>179996.84</v>
      </c>
    </row>
    <row r="2779" spans="1:4" x14ac:dyDescent="0.25">
      <c r="A2779" t="s">
        <v>441</v>
      </c>
      <c r="B2779" t="s">
        <v>134</v>
      </c>
      <c r="C2779" s="2">
        <f>HYPERLINK("https://svao.dolgi.msk.ru/account/1760080722/", 1760080722)</f>
        <v>1760080722</v>
      </c>
      <c r="D2779">
        <v>7367.37</v>
      </c>
    </row>
    <row r="2780" spans="1:4" x14ac:dyDescent="0.25">
      <c r="A2780" t="s">
        <v>441</v>
      </c>
      <c r="B2780" t="s">
        <v>31</v>
      </c>
      <c r="C2780" s="2">
        <f>HYPERLINK("https://svao.dolgi.msk.ru/account/1760080845/", 1760080845)</f>
        <v>1760080845</v>
      </c>
      <c r="D2780">
        <v>3382.35</v>
      </c>
    </row>
    <row r="2781" spans="1:4" x14ac:dyDescent="0.25">
      <c r="A2781" t="s">
        <v>441</v>
      </c>
      <c r="B2781" t="s">
        <v>34</v>
      </c>
      <c r="C2781" s="2">
        <f>HYPERLINK("https://svao.dolgi.msk.ru/account/1760080925/", 1760080925)</f>
        <v>1760080925</v>
      </c>
      <c r="D2781">
        <v>2349.6</v>
      </c>
    </row>
    <row r="2782" spans="1:4" x14ac:dyDescent="0.25">
      <c r="A2782" t="s">
        <v>441</v>
      </c>
      <c r="B2782" t="s">
        <v>333</v>
      </c>
      <c r="C2782" s="2">
        <f>HYPERLINK("https://svao.dolgi.msk.ru/account/1760080984/", 1760080984)</f>
        <v>1760080984</v>
      </c>
      <c r="D2782">
        <v>4492.8599999999997</v>
      </c>
    </row>
    <row r="2783" spans="1:4" x14ac:dyDescent="0.25">
      <c r="A2783" t="s">
        <v>441</v>
      </c>
      <c r="B2783" t="s">
        <v>87</v>
      </c>
      <c r="C2783" s="2">
        <f>HYPERLINK("https://svao.dolgi.msk.ru/account/1760080992/", 1760080992)</f>
        <v>1760080992</v>
      </c>
      <c r="D2783">
        <v>3993.17</v>
      </c>
    </row>
    <row r="2784" spans="1:4" x14ac:dyDescent="0.25">
      <c r="A2784" t="s">
        <v>441</v>
      </c>
      <c r="B2784" t="s">
        <v>293</v>
      </c>
      <c r="C2784" s="2">
        <f>HYPERLINK("https://svao.dolgi.msk.ru/account/1760081039/", 1760081039)</f>
        <v>1760081039</v>
      </c>
      <c r="D2784">
        <v>3995.09</v>
      </c>
    </row>
    <row r="2785" spans="1:4" x14ac:dyDescent="0.25">
      <c r="A2785" t="s">
        <v>441</v>
      </c>
      <c r="B2785" t="s">
        <v>246</v>
      </c>
      <c r="C2785" s="2">
        <f>HYPERLINK("https://svao.dolgi.msk.ru/account/1760081071/", 1760081071)</f>
        <v>1760081071</v>
      </c>
      <c r="D2785">
        <v>2674.4</v>
      </c>
    </row>
    <row r="2786" spans="1:4" x14ac:dyDescent="0.25">
      <c r="A2786" t="s">
        <v>442</v>
      </c>
      <c r="B2786" t="s">
        <v>7</v>
      </c>
      <c r="C2786" s="2">
        <f>HYPERLINK("https://svao.dolgi.msk.ru/account/1760228811/", 1760228811)</f>
        <v>1760228811</v>
      </c>
      <c r="D2786">
        <v>36972.01</v>
      </c>
    </row>
    <row r="2787" spans="1:4" x14ac:dyDescent="0.25">
      <c r="A2787" t="s">
        <v>442</v>
      </c>
      <c r="B2787" t="s">
        <v>141</v>
      </c>
      <c r="C2787" s="2">
        <f>HYPERLINK("https://svao.dolgi.msk.ru/account/1760228846/", 1760228846)</f>
        <v>1760228846</v>
      </c>
      <c r="D2787">
        <v>217056.2</v>
      </c>
    </row>
    <row r="2788" spans="1:4" x14ac:dyDescent="0.25">
      <c r="A2788" t="s">
        <v>442</v>
      </c>
      <c r="B2788" t="s">
        <v>73</v>
      </c>
      <c r="C2788" s="2">
        <f>HYPERLINK("https://svao.dolgi.msk.ru/account/1760228889/", 1760228889)</f>
        <v>1760228889</v>
      </c>
      <c r="D2788">
        <v>8011.15</v>
      </c>
    </row>
    <row r="2789" spans="1:4" x14ac:dyDescent="0.25">
      <c r="A2789" t="s">
        <v>442</v>
      </c>
      <c r="B2789" t="s">
        <v>10</v>
      </c>
      <c r="C2789" s="2">
        <f>HYPERLINK("https://svao.dolgi.msk.ru/account/1760228985/", 1760228985)</f>
        <v>1760228985</v>
      </c>
      <c r="D2789">
        <v>2711</v>
      </c>
    </row>
    <row r="2790" spans="1:4" x14ac:dyDescent="0.25">
      <c r="A2790" t="s">
        <v>442</v>
      </c>
      <c r="B2790" t="s">
        <v>219</v>
      </c>
      <c r="C2790" s="2">
        <f>HYPERLINK("https://svao.dolgi.msk.ru/account/1760228993/", 1760228993)</f>
        <v>1760228993</v>
      </c>
      <c r="D2790">
        <v>9738.36</v>
      </c>
    </row>
    <row r="2791" spans="1:4" x14ac:dyDescent="0.25">
      <c r="A2791" t="s">
        <v>442</v>
      </c>
      <c r="B2791" t="s">
        <v>11</v>
      </c>
      <c r="C2791" s="2">
        <f>HYPERLINK("https://svao.dolgi.msk.ru/account/1760229005/", 1760229005)</f>
        <v>1760229005</v>
      </c>
      <c r="D2791">
        <v>29530.48</v>
      </c>
    </row>
    <row r="2792" spans="1:4" x14ac:dyDescent="0.25">
      <c r="A2792" t="s">
        <v>442</v>
      </c>
      <c r="B2792" t="s">
        <v>12</v>
      </c>
      <c r="C2792" s="2">
        <f>HYPERLINK("https://svao.dolgi.msk.ru/account/1760229021/", 1760229021)</f>
        <v>1760229021</v>
      </c>
      <c r="D2792">
        <v>787.46</v>
      </c>
    </row>
    <row r="2793" spans="1:4" x14ac:dyDescent="0.25">
      <c r="A2793" t="s">
        <v>442</v>
      </c>
      <c r="B2793" t="s">
        <v>13</v>
      </c>
      <c r="C2793" s="2">
        <f>HYPERLINK("https://svao.dolgi.msk.ru/account/1760229048/", 1760229048)</f>
        <v>1760229048</v>
      </c>
      <c r="D2793">
        <v>622.62</v>
      </c>
    </row>
    <row r="2794" spans="1:4" x14ac:dyDescent="0.25">
      <c r="A2794" t="s">
        <v>442</v>
      </c>
      <c r="B2794" t="s">
        <v>15</v>
      </c>
      <c r="C2794" s="2">
        <f>HYPERLINK("https://svao.dolgi.msk.ru/account/1760229099/", 1760229099)</f>
        <v>1760229099</v>
      </c>
      <c r="D2794">
        <v>4176.18</v>
      </c>
    </row>
    <row r="2795" spans="1:4" x14ac:dyDescent="0.25">
      <c r="A2795" t="s">
        <v>442</v>
      </c>
      <c r="B2795" t="s">
        <v>16</v>
      </c>
      <c r="C2795" s="2">
        <f>HYPERLINK("https://svao.dolgi.msk.ru/account/1760229128/", 1760229128)</f>
        <v>1760229128</v>
      </c>
      <c r="D2795">
        <v>4273.2299999999996</v>
      </c>
    </row>
    <row r="2796" spans="1:4" x14ac:dyDescent="0.25">
      <c r="A2796" t="s">
        <v>442</v>
      </c>
      <c r="B2796" t="s">
        <v>109</v>
      </c>
      <c r="C2796" s="2">
        <f>HYPERLINK("https://svao.dolgi.msk.ru/account/1760229179/", 1760229179)</f>
        <v>1760229179</v>
      </c>
      <c r="D2796">
        <v>3327.33</v>
      </c>
    </row>
    <row r="2797" spans="1:4" x14ac:dyDescent="0.25">
      <c r="A2797" t="s">
        <v>442</v>
      </c>
      <c r="B2797" t="s">
        <v>20</v>
      </c>
      <c r="C2797" s="2">
        <f>HYPERLINK("https://svao.dolgi.msk.ru/account/1760229195/", 1760229195)</f>
        <v>1760229195</v>
      </c>
      <c r="D2797">
        <v>28081.81</v>
      </c>
    </row>
    <row r="2798" spans="1:4" x14ac:dyDescent="0.25">
      <c r="A2798" t="s">
        <v>442</v>
      </c>
      <c r="B2798" t="s">
        <v>93</v>
      </c>
      <c r="C2798" s="2">
        <f>HYPERLINK("https://svao.dolgi.msk.ru/account/1760229224/", 1760229224)</f>
        <v>1760229224</v>
      </c>
      <c r="D2798">
        <v>3522.09</v>
      </c>
    </row>
    <row r="2799" spans="1:4" x14ac:dyDescent="0.25">
      <c r="A2799" t="s">
        <v>442</v>
      </c>
      <c r="B2799" t="s">
        <v>111</v>
      </c>
      <c r="C2799" s="2">
        <f>HYPERLINK("https://svao.dolgi.msk.ru/account/1760229232/", 1760229232)</f>
        <v>1760229232</v>
      </c>
      <c r="D2799">
        <v>45001.07</v>
      </c>
    </row>
    <row r="2800" spans="1:4" x14ac:dyDescent="0.25">
      <c r="A2800" t="s">
        <v>442</v>
      </c>
      <c r="B2800" t="s">
        <v>21</v>
      </c>
      <c r="C2800" s="2">
        <f>HYPERLINK("https://svao.dolgi.msk.ru/account/1760229283/", 1760229283)</f>
        <v>1760229283</v>
      </c>
      <c r="D2800">
        <v>4511.93</v>
      </c>
    </row>
    <row r="2801" spans="1:4" x14ac:dyDescent="0.25">
      <c r="A2801" t="s">
        <v>442</v>
      </c>
      <c r="B2801" t="s">
        <v>115</v>
      </c>
      <c r="C2801" s="2">
        <f>HYPERLINK("https://svao.dolgi.msk.ru/account/1760229419/", 1760229419)</f>
        <v>1760229419</v>
      </c>
      <c r="D2801">
        <v>6534.85</v>
      </c>
    </row>
    <row r="2802" spans="1:4" x14ac:dyDescent="0.25">
      <c r="A2802" t="s">
        <v>442</v>
      </c>
      <c r="B2802" t="s">
        <v>320</v>
      </c>
      <c r="C2802" s="2">
        <f>HYPERLINK("https://svao.dolgi.msk.ru/account/1760229427/", 1760229427)</f>
        <v>1760229427</v>
      </c>
      <c r="D2802">
        <v>3450.9</v>
      </c>
    </row>
    <row r="2803" spans="1:4" x14ac:dyDescent="0.25">
      <c r="A2803" t="s">
        <v>442</v>
      </c>
      <c r="B2803" t="s">
        <v>119</v>
      </c>
      <c r="C2803" s="2">
        <f>HYPERLINK("https://svao.dolgi.msk.ru/account/1760229566/", 1760229566)</f>
        <v>1760229566</v>
      </c>
      <c r="D2803">
        <v>4629.95</v>
      </c>
    </row>
    <row r="2804" spans="1:4" x14ac:dyDescent="0.25">
      <c r="A2804" t="s">
        <v>442</v>
      </c>
      <c r="B2804" t="s">
        <v>25</v>
      </c>
      <c r="C2804" s="2">
        <f>HYPERLINK("https://svao.dolgi.msk.ru/account/1760229611/", 1760229611)</f>
        <v>1760229611</v>
      </c>
      <c r="D2804">
        <v>2838.16</v>
      </c>
    </row>
    <row r="2805" spans="1:4" x14ac:dyDescent="0.25">
      <c r="A2805" t="s">
        <v>442</v>
      </c>
      <c r="B2805" t="s">
        <v>27</v>
      </c>
      <c r="C2805" s="2">
        <f>HYPERLINK("https://svao.dolgi.msk.ru/account/1760229697/", 1760229697)</f>
        <v>1760229697</v>
      </c>
      <c r="D2805">
        <v>15737.88</v>
      </c>
    </row>
    <row r="2806" spans="1:4" x14ac:dyDescent="0.25">
      <c r="A2806" t="s">
        <v>442</v>
      </c>
      <c r="B2806" t="s">
        <v>121</v>
      </c>
      <c r="C2806" s="2">
        <f>HYPERLINK("https://svao.dolgi.msk.ru/account/1760229734/", 1760229734)</f>
        <v>1760229734</v>
      </c>
      <c r="D2806">
        <v>3505.18</v>
      </c>
    </row>
    <row r="2807" spans="1:4" x14ac:dyDescent="0.25">
      <c r="A2807" t="s">
        <v>442</v>
      </c>
      <c r="B2807" t="s">
        <v>28</v>
      </c>
      <c r="C2807" s="2">
        <f>HYPERLINK("https://svao.dolgi.msk.ru/account/1760229777/", 1760229777)</f>
        <v>1760229777</v>
      </c>
      <c r="D2807">
        <v>13181.93</v>
      </c>
    </row>
    <row r="2808" spans="1:4" x14ac:dyDescent="0.25">
      <c r="A2808" t="s">
        <v>442</v>
      </c>
      <c r="B2808" t="s">
        <v>30</v>
      </c>
      <c r="C2808" s="2">
        <f>HYPERLINK("https://svao.dolgi.msk.ru/account/1760229814/", 1760229814)</f>
        <v>1760229814</v>
      </c>
      <c r="D2808">
        <v>4716.58</v>
      </c>
    </row>
    <row r="2809" spans="1:4" x14ac:dyDescent="0.25">
      <c r="A2809" t="s">
        <v>442</v>
      </c>
      <c r="B2809" t="s">
        <v>97</v>
      </c>
      <c r="C2809" s="2">
        <f>HYPERLINK("https://svao.dolgi.msk.ru/account/1760229822/", 1760229822)</f>
        <v>1760229822</v>
      </c>
      <c r="D2809">
        <v>2870.72</v>
      </c>
    </row>
    <row r="2810" spans="1:4" x14ac:dyDescent="0.25">
      <c r="A2810" t="s">
        <v>442</v>
      </c>
      <c r="B2810" t="s">
        <v>84</v>
      </c>
      <c r="C2810" s="2">
        <f>HYPERLINK("https://svao.dolgi.msk.ru/account/1760229849/", 1760229849)</f>
        <v>1760229849</v>
      </c>
      <c r="D2810">
        <v>4742.93</v>
      </c>
    </row>
    <row r="2811" spans="1:4" x14ac:dyDescent="0.25">
      <c r="A2811" t="s">
        <v>442</v>
      </c>
      <c r="B2811" t="s">
        <v>245</v>
      </c>
      <c r="C2811" s="2">
        <f>HYPERLINK("https://svao.dolgi.msk.ru/account/1760229881/", 1760229881)</f>
        <v>1760229881</v>
      </c>
      <c r="D2811">
        <v>6969.84</v>
      </c>
    </row>
    <row r="2812" spans="1:4" x14ac:dyDescent="0.25">
      <c r="A2812" t="s">
        <v>442</v>
      </c>
      <c r="B2812" t="s">
        <v>293</v>
      </c>
      <c r="C2812" s="2">
        <f>HYPERLINK("https://svao.dolgi.msk.ru/account/1760230057/", 1760230057)</f>
        <v>1760230057</v>
      </c>
      <c r="D2812">
        <v>2589.83</v>
      </c>
    </row>
    <row r="2813" spans="1:4" x14ac:dyDescent="0.25">
      <c r="A2813" t="s">
        <v>442</v>
      </c>
      <c r="B2813" t="s">
        <v>247</v>
      </c>
      <c r="C2813" s="2">
        <f>HYPERLINK("https://svao.dolgi.msk.ru/account/1760230196/", 1760230196)</f>
        <v>1760230196</v>
      </c>
      <c r="D2813">
        <v>4439.29</v>
      </c>
    </row>
    <row r="2814" spans="1:4" x14ac:dyDescent="0.25">
      <c r="A2814" t="s">
        <v>442</v>
      </c>
      <c r="B2814" t="s">
        <v>143</v>
      </c>
      <c r="C2814" s="2">
        <f>HYPERLINK("https://svao.dolgi.msk.ru/account/1760230217/", 1760230217)</f>
        <v>1760230217</v>
      </c>
      <c r="D2814">
        <v>6948.34</v>
      </c>
    </row>
    <row r="2815" spans="1:4" x14ac:dyDescent="0.25">
      <c r="A2815" t="s">
        <v>442</v>
      </c>
      <c r="B2815" t="s">
        <v>46</v>
      </c>
      <c r="C2815" s="2">
        <f>HYPERLINK("https://svao.dolgi.msk.ru/account/1760230284/", 1760230284)</f>
        <v>1760230284</v>
      </c>
      <c r="D2815">
        <v>2781.82</v>
      </c>
    </row>
    <row r="2816" spans="1:4" x14ac:dyDescent="0.25">
      <c r="A2816" t="s">
        <v>442</v>
      </c>
      <c r="B2816" t="s">
        <v>47</v>
      </c>
      <c r="C2816" s="2">
        <f>HYPERLINK("https://svao.dolgi.msk.ru/account/1760230321/", 1760230321)</f>
        <v>1760230321</v>
      </c>
      <c r="D2816">
        <v>5571.18</v>
      </c>
    </row>
    <row r="2817" spans="1:4" x14ac:dyDescent="0.25">
      <c r="A2817" t="s">
        <v>442</v>
      </c>
      <c r="B2817" t="s">
        <v>49</v>
      </c>
      <c r="C2817" s="2">
        <f>HYPERLINK("https://svao.dolgi.msk.ru/account/1760230372/", 1760230372)</f>
        <v>1760230372</v>
      </c>
      <c r="D2817">
        <v>3161.14</v>
      </c>
    </row>
    <row r="2818" spans="1:4" x14ac:dyDescent="0.25">
      <c r="A2818" t="s">
        <v>442</v>
      </c>
      <c r="B2818" t="s">
        <v>294</v>
      </c>
      <c r="C2818" s="2">
        <f>HYPERLINK("https://svao.dolgi.msk.ru/account/1760230399/", 1760230399)</f>
        <v>1760230399</v>
      </c>
      <c r="D2818">
        <v>4530.8</v>
      </c>
    </row>
    <row r="2819" spans="1:4" x14ac:dyDescent="0.25">
      <c r="A2819" t="s">
        <v>442</v>
      </c>
      <c r="B2819" t="s">
        <v>147</v>
      </c>
      <c r="C2819" s="2">
        <f>HYPERLINK("https://svao.dolgi.msk.ru/account/1760230401/", 1760230401)</f>
        <v>1760230401</v>
      </c>
      <c r="D2819">
        <v>3514.19</v>
      </c>
    </row>
    <row r="2820" spans="1:4" x14ac:dyDescent="0.25">
      <c r="A2820" t="s">
        <v>442</v>
      </c>
      <c r="B2820" t="s">
        <v>252</v>
      </c>
      <c r="C2820" s="2">
        <f>HYPERLINK("https://svao.dolgi.msk.ru/account/1760230436/", 1760230436)</f>
        <v>1760230436</v>
      </c>
      <c r="D2820">
        <v>5240.17</v>
      </c>
    </row>
    <row r="2821" spans="1:4" x14ac:dyDescent="0.25">
      <c r="A2821" t="s">
        <v>442</v>
      </c>
      <c r="B2821" t="s">
        <v>52</v>
      </c>
      <c r="C2821" s="2">
        <f>HYPERLINK("https://svao.dolgi.msk.ru/account/1760230508/", 1760230508)</f>
        <v>1760230508</v>
      </c>
      <c r="D2821">
        <v>19679.689999999999</v>
      </c>
    </row>
    <row r="2822" spans="1:4" x14ac:dyDescent="0.25">
      <c r="A2822" t="s">
        <v>442</v>
      </c>
      <c r="B2822" t="s">
        <v>148</v>
      </c>
      <c r="C2822" s="2">
        <f>HYPERLINK("https://svao.dolgi.msk.ru/account/1760230524/", 1760230524)</f>
        <v>1760230524</v>
      </c>
      <c r="D2822">
        <v>3009.43</v>
      </c>
    </row>
    <row r="2823" spans="1:4" x14ac:dyDescent="0.25">
      <c r="A2823" t="s">
        <v>442</v>
      </c>
      <c r="B2823" t="s">
        <v>295</v>
      </c>
      <c r="C2823" s="2">
        <f>HYPERLINK("https://svao.dolgi.msk.ru/account/1760230532/", 1760230532)</f>
        <v>1760230532</v>
      </c>
      <c r="D2823">
        <v>123681.54</v>
      </c>
    </row>
    <row r="2824" spans="1:4" x14ac:dyDescent="0.25">
      <c r="A2824" t="s">
        <v>442</v>
      </c>
      <c r="B2824" t="s">
        <v>149</v>
      </c>
      <c r="C2824" s="2">
        <f>HYPERLINK("https://svao.dolgi.msk.ru/account/1760230559/", 1760230559)</f>
        <v>1760230559</v>
      </c>
      <c r="D2824">
        <v>4674.75</v>
      </c>
    </row>
    <row r="2825" spans="1:4" x14ac:dyDescent="0.25">
      <c r="A2825" t="s">
        <v>442</v>
      </c>
      <c r="B2825" t="s">
        <v>151</v>
      </c>
      <c r="C2825" s="2">
        <f>HYPERLINK("https://svao.dolgi.msk.ru/account/1760230583/", 1760230583)</f>
        <v>1760230583</v>
      </c>
      <c r="D2825">
        <v>2492.0300000000002</v>
      </c>
    </row>
    <row r="2826" spans="1:4" x14ac:dyDescent="0.25">
      <c r="A2826" t="s">
        <v>442</v>
      </c>
      <c r="B2826" t="s">
        <v>317</v>
      </c>
      <c r="C2826" s="2">
        <f>HYPERLINK("https://svao.dolgi.msk.ru/account/1760230612/", 1760230612)</f>
        <v>1760230612</v>
      </c>
      <c r="D2826">
        <v>5372.27</v>
      </c>
    </row>
    <row r="2827" spans="1:4" x14ac:dyDescent="0.25">
      <c r="A2827" t="s">
        <v>442</v>
      </c>
      <c r="B2827" t="s">
        <v>54</v>
      </c>
      <c r="C2827" s="2">
        <f>HYPERLINK("https://svao.dolgi.msk.ru/account/1760230655/", 1760230655)</f>
        <v>1760230655</v>
      </c>
      <c r="D2827">
        <v>1069.56</v>
      </c>
    </row>
    <row r="2828" spans="1:4" x14ac:dyDescent="0.25">
      <c r="A2828" t="s">
        <v>442</v>
      </c>
      <c r="B2828" t="s">
        <v>308</v>
      </c>
      <c r="C2828" s="2">
        <f>HYPERLINK("https://svao.dolgi.msk.ru/account/1760230671/", 1760230671)</f>
        <v>1760230671</v>
      </c>
      <c r="D2828">
        <v>12717.61</v>
      </c>
    </row>
    <row r="2829" spans="1:4" x14ac:dyDescent="0.25">
      <c r="A2829" t="s">
        <v>442</v>
      </c>
      <c r="B2829" t="s">
        <v>308</v>
      </c>
      <c r="C2829" s="2">
        <f>HYPERLINK("https://svao.dolgi.msk.ru/account/1761792676/", 1761792676)</f>
        <v>1761792676</v>
      </c>
      <c r="D2829">
        <v>2891.98</v>
      </c>
    </row>
    <row r="2830" spans="1:4" x14ac:dyDescent="0.25">
      <c r="A2830" t="s">
        <v>442</v>
      </c>
      <c r="B2830" t="s">
        <v>309</v>
      </c>
      <c r="C2830" s="2">
        <f>HYPERLINK("https://svao.dolgi.msk.ru/account/1760230719/", 1760230719)</f>
        <v>1760230719</v>
      </c>
      <c r="D2830">
        <v>444.84</v>
      </c>
    </row>
    <row r="2831" spans="1:4" x14ac:dyDescent="0.25">
      <c r="A2831" t="s">
        <v>442</v>
      </c>
      <c r="B2831" t="s">
        <v>255</v>
      </c>
      <c r="C2831" s="2">
        <f>HYPERLINK("https://svao.dolgi.msk.ru/account/1760230743/", 1760230743)</f>
        <v>1760230743</v>
      </c>
      <c r="D2831">
        <v>6335.85</v>
      </c>
    </row>
    <row r="2832" spans="1:4" x14ac:dyDescent="0.25">
      <c r="A2832" t="s">
        <v>442</v>
      </c>
      <c r="B2832" t="s">
        <v>312</v>
      </c>
      <c r="C2832" s="2">
        <f>HYPERLINK("https://svao.dolgi.msk.ru/account/1760230858/", 1760230858)</f>
        <v>1760230858</v>
      </c>
      <c r="D2832">
        <v>3724.58</v>
      </c>
    </row>
    <row r="2833" spans="1:4" x14ac:dyDescent="0.25">
      <c r="A2833" t="s">
        <v>442</v>
      </c>
      <c r="B2833" t="s">
        <v>155</v>
      </c>
      <c r="C2833" s="2">
        <f>HYPERLINK("https://svao.dolgi.msk.ru/account/1760230866/", 1760230866)</f>
        <v>1760230866</v>
      </c>
      <c r="D2833">
        <v>5283.92</v>
      </c>
    </row>
    <row r="2834" spans="1:4" x14ac:dyDescent="0.25">
      <c r="A2834" t="s">
        <v>442</v>
      </c>
      <c r="B2834" t="s">
        <v>156</v>
      </c>
      <c r="C2834" s="2">
        <f>HYPERLINK("https://svao.dolgi.msk.ru/account/1760230874/", 1760230874)</f>
        <v>1760230874</v>
      </c>
      <c r="D2834">
        <v>3511.46</v>
      </c>
    </row>
    <row r="2835" spans="1:4" x14ac:dyDescent="0.25">
      <c r="A2835" t="s">
        <v>442</v>
      </c>
      <c r="B2835" t="s">
        <v>429</v>
      </c>
      <c r="C2835" s="2">
        <f>HYPERLINK("https://svao.dolgi.msk.ru/account/1760230903/", 1760230903)</f>
        <v>1760230903</v>
      </c>
      <c r="D2835">
        <v>6221.17</v>
      </c>
    </row>
    <row r="2836" spans="1:4" x14ac:dyDescent="0.25">
      <c r="A2836" t="s">
        <v>442</v>
      </c>
      <c r="B2836" t="s">
        <v>341</v>
      </c>
      <c r="C2836" s="2">
        <f>HYPERLINK("https://svao.dolgi.msk.ru/account/1760230938/", 1760230938)</f>
        <v>1760230938</v>
      </c>
      <c r="D2836">
        <v>5449.57</v>
      </c>
    </row>
    <row r="2837" spans="1:4" x14ac:dyDescent="0.25">
      <c r="A2837" t="s">
        <v>442</v>
      </c>
      <c r="B2837" t="s">
        <v>377</v>
      </c>
      <c r="C2837" s="2">
        <f>HYPERLINK("https://svao.dolgi.msk.ru/account/1760230946/", 1760230946)</f>
        <v>1760230946</v>
      </c>
      <c r="D2837">
        <v>5355.25</v>
      </c>
    </row>
    <row r="2838" spans="1:4" x14ac:dyDescent="0.25">
      <c r="A2838" t="s">
        <v>442</v>
      </c>
      <c r="B2838" t="s">
        <v>58</v>
      </c>
      <c r="C2838" s="2">
        <f>HYPERLINK("https://svao.dolgi.msk.ru/account/1760230989/", 1760230989)</f>
        <v>1760230989</v>
      </c>
      <c r="D2838">
        <v>2608.77</v>
      </c>
    </row>
    <row r="2839" spans="1:4" x14ac:dyDescent="0.25">
      <c r="A2839" t="s">
        <v>442</v>
      </c>
      <c r="B2839" t="s">
        <v>336</v>
      </c>
      <c r="C2839" s="2">
        <f>HYPERLINK("https://svao.dolgi.msk.ru/account/1760231041/", 1760231041)</f>
        <v>1760231041</v>
      </c>
      <c r="D2839">
        <v>6379.45</v>
      </c>
    </row>
    <row r="2840" spans="1:4" x14ac:dyDescent="0.25">
      <c r="A2840" t="s">
        <v>442</v>
      </c>
      <c r="B2840" t="s">
        <v>343</v>
      </c>
      <c r="C2840" s="2">
        <f>HYPERLINK("https://svao.dolgi.msk.ru/account/1760231092/", 1760231092)</f>
        <v>1760231092</v>
      </c>
      <c r="D2840">
        <v>3435.52</v>
      </c>
    </row>
    <row r="2841" spans="1:4" x14ac:dyDescent="0.25">
      <c r="A2841" t="s">
        <v>442</v>
      </c>
      <c r="B2841" t="s">
        <v>62</v>
      </c>
      <c r="C2841" s="2">
        <f>HYPERLINK("https://svao.dolgi.msk.ru/account/1760231148/", 1760231148)</f>
        <v>1760231148</v>
      </c>
      <c r="D2841">
        <v>2317.6</v>
      </c>
    </row>
    <row r="2842" spans="1:4" x14ac:dyDescent="0.25">
      <c r="A2842" t="s">
        <v>442</v>
      </c>
      <c r="B2842" t="s">
        <v>344</v>
      </c>
      <c r="C2842" s="2">
        <f>HYPERLINK("https://svao.dolgi.msk.ru/account/1760231164/", 1760231164)</f>
        <v>1760231164</v>
      </c>
      <c r="D2842">
        <v>4985.45</v>
      </c>
    </row>
    <row r="2843" spans="1:4" x14ac:dyDescent="0.25">
      <c r="A2843" t="s">
        <v>442</v>
      </c>
      <c r="B2843" t="s">
        <v>160</v>
      </c>
      <c r="C2843" s="2">
        <f>HYPERLINK("https://svao.dolgi.msk.ru/account/1760231172/", 1760231172)</f>
        <v>1760231172</v>
      </c>
      <c r="D2843">
        <v>5676.81</v>
      </c>
    </row>
    <row r="2844" spans="1:4" x14ac:dyDescent="0.25">
      <c r="A2844" t="s">
        <v>442</v>
      </c>
      <c r="B2844" t="s">
        <v>64</v>
      </c>
      <c r="C2844" s="2">
        <f>HYPERLINK("https://svao.dolgi.msk.ru/account/1760231228/", 1760231228)</f>
        <v>1760231228</v>
      </c>
      <c r="D2844">
        <v>500301.75</v>
      </c>
    </row>
    <row r="2845" spans="1:4" x14ac:dyDescent="0.25">
      <c r="A2845" t="s">
        <v>442</v>
      </c>
      <c r="B2845" t="s">
        <v>161</v>
      </c>
      <c r="C2845" s="2">
        <f>HYPERLINK("https://svao.dolgi.msk.ru/account/1760231252/", 1760231252)</f>
        <v>1760231252</v>
      </c>
      <c r="D2845">
        <v>9775.19</v>
      </c>
    </row>
    <row r="2846" spans="1:4" x14ac:dyDescent="0.25">
      <c r="A2846" t="s">
        <v>442</v>
      </c>
      <c r="B2846" t="s">
        <v>67</v>
      </c>
      <c r="C2846" s="2">
        <f>HYPERLINK("https://svao.dolgi.msk.ru/account/1760231287/", 1760231287)</f>
        <v>1760231287</v>
      </c>
      <c r="D2846">
        <v>3044.63</v>
      </c>
    </row>
    <row r="2847" spans="1:4" x14ac:dyDescent="0.25">
      <c r="A2847" t="s">
        <v>442</v>
      </c>
      <c r="B2847" t="s">
        <v>68</v>
      </c>
      <c r="C2847" s="2">
        <f>HYPERLINK("https://svao.dolgi.msk.ru/account/1760231367/", 1760231367)</f>
        <v>1760231367</v>
      </c>
      <c r="D2847">
        <v>2447.38</v>
      </c>
    </row>
    <row r="2848" spans="1:4" x14ac:dyDescent="0.25">
      <c r="A2848" t="s">
        <v>442</v>
      </c>
      <c r="B2848" t="s">
        <v>259</v>
      </c>
      <c r="C2848" s="2">
        <f>HYPERLINK("https://svao.dolgi.msk.ru/account/1760231383/", 1760231383)</f>
        <v>1760231383</v>
      </c>
      <c r="D2848">
        <v>3934.37</v>
      </c>
    </row>
    <row r="2849" spans="1:4" x14ac:dyDescent="0.25">
      <c r="A2849" t="s">
        <v>442</v>
      </c>
      <c r="B2849" t="s">
        <v>164</v>
      </c>
      <c r="C2849" s="2">
        <f>HYPERLINK("https://svao.dolgi.msk.ru/account/1760231391/", 1760231391)</f>
        <v>1760231391</v>
      </c>
      <c r="D2849">
        <v>3614.46</v>
      </c>
    </row>
    <row r="2850" spans="1:4" x14ac:dyDescent="0.25">
      <c r="A2850" t="s">
        <v>443</v>
      </c>
      <c r="B2850" t="s">
        <v>5</v>
      </c>
      <c r="C2850" s="2">
        <f>HYPERLINK("https://svao.dolgi.msk.ru/account/1760034275/", 1760034275)</f>
        <v>1760034275</v>
      </c>
      <c r="D2850">
        <v>14627.12</v>
      </c>
    </row>
    <row r="2851" spans="1:4" x14ac:dyDescent="0.25">
      <c r="A2851" t="s">
        <v>443</v>
      </c>
      <c r="B2851" t="s">
        <v>7</v>
      </c>
      <c r="C2851" s="2">
        <f>HYPERLINK("https://svao.dolgi.msk.ru/account/1760034291/", 1760034291)</f>
        <v>1760034291</v>
      </c>
      <c r="D2851">
        <v>8304.27</v>
      </c>
    </row>
    <row r="2852" spans="1:4" x14ac:dyDescent="0.25">
      <c r="A2852" t="s">
        <v>443</v>
      </c>
      <c r="B2852" t="s">
        <v>101</v>
      </c>
      <c r="C2852" s="2">
        <f>HYPERLINK("https://svao.dolgi.msk.ru/account/1760034312/", 1760034312)</f>
        <v>1760034312</v>
      </c>
      <c r="D2852">
        <v>5171.99</v>
      </c>
    </row>
    <row r="2853" spans="1:4" x14ac:dyDescent="0.25">
      <c r="A2853" t="s">
        <v>443</v>
      </c>
      <c r="B2853" t="s">
        <v>103</v>
      </c>
      <c r="C2853" s="2">
        <f>HYPERLINK("https://svao.dolgi.msk.ru/account/1760034363/", 1760034363)</f>
        <v>1760034363</v>
      </c>
      <c r="D2853">
        <v>5650.85</v>
      </c>
    </row>
    <row r="2854" spans="1:4" x14ac:dyDescent="0.25">
      <c r="A2854" t="s">
        <v>443</v>
      </c>
      <c r="B2854" t="s">
        <v>73</v>
      </c>
      <c r="C2854" s="2">
        <f>HYPERLINK("https://svao.dolgi.msk.ru/account/1760034371/", 1760034371)</f>
        <v>1760034371</v>
      </c>
      <c r="D2854">
        <v>962.81</v>
      </c>
    </row>
    <row r="2855" spans="1:4" x14ac:dyDescent="0.25">
      <c r="A2855" t="s">
        <v>443</v>
      </c>
      <c r="B2855" t="s">
        <v>8</v>
      </c>
      <c r="C2855" s="2">
        <f>HYPERLINK("https://svao.dolgi.msk.ru/account/1760034419/", 1760034419)</f>
        <v>1760034419</v>
      </c>
      <c r="D2855">
        <v>5614.3</v>
      </c>
    </row>
    <row r="2856" spans="1:4" x14ac:dyDescent="0.25">
      <c r="A2856" t="s">
        <v>443</v>
      </c>
      <c r="B2856" t="s">
        <v>10</v>
      </c>
      <c r="C2856" s="2">
        <f>HYPERLINK("https://svao.dolgi.msk.ru/account/1760034486/", 1760034486)</f>
        <v>1760034486</v>
      </c>
      <c r="D2856">
        <v>21714.36</v>
      </c>
    </row>
    <row r="2857" spans="1:4" x14ac:dyDescent="0.25">
      <c r="A2857" t="s">
        <v>443</v>
      </c>
      <c r="B2857" t="s">
        <v>219</v>
      </c>
      <c r="C2857" s="2">
        <f>HYPERLINK("https://svao.dolgi.msk.ru/account/1760034494/", 1760034494)</f>
        <v>1760034494</v>
      </c>
      <c r="D2857">
        <v>6955.62</v>
      </c>
    </row>
    <row r="2858" spans="1:4" x14ac:dyDescent="0.25">
      <c r="A2858" t="s">
        <v>443</v>
      </c>
      <c r="B2858" t="s">
        <v>13</v>
      </c>
      <c r="C2858" s="2">
        <f>HYPERLINK("https://svao.dolgi.msk.ru/account/1760034558/", 1760034558)</f>
        <v>1760034558</v>
      </c>
      <c r="D2858">
        <v>772.49</v>
      </c>
    </row>
    <row r="2859" spans="1:4" x14ac:dyDescent="0.25">
      <c r="A2859" t="s">
        <v>443</v>
      </c>
      <c r="B2859" t="s">
        <v>107</v>
      </c>
      <c r="C2859" s="2">
        <f>HYPERLINK("https://svao.dolgi.msk.ru/account/1760034611/", 1760034611)</f>
        <v>1760034611</v>
      </c>
      <c r="D2859">
        <v>10083</v>
      </c>
    </row>
    <row r="2860" spans="1:4" x14ac:dyDescent="0.25">
      <c r="A2860" t="s">
        <v>443</v>
      </c>
      <c r="B2860" t="s">
        <v>109</v>
      </c>
      <c r="C2860" s="2">
        <f>HYPERLINK("https://svao.dolgi.msk.ru/account/1760034734/", 1760034734)</f>
        <v>1760034734</v>
      </c>
      <c r="D2860">
        <v>7351.53</v>
      </c>
    </row>
    <row r="2861" spans="1:4" x14ac:dyDescent="0.25">
      <c r="A2861" t="s">
        <v>443</v>
      </c>
      <c r="B2861" t="s">
        <v>77</v>
      </c>
      <c r="C2861" s="2">
        <f>HYPERLINK("https://svao.dolgi.msk.ru/account/1760034873/", 1760034873)</f>
        <v>1760034873</v>
      </c>
      <c r="D2861">
        <v>4041.2</v>
      </c>
    </row>
    <row r="2862" spans="1:4" x14ac:dyDescent="0.25">
      <c r="A2862" t="s">
        <v>443</v>
      </c>
      <c r="B2862" t="s">
        <v>78</v>
      </c>
      <c r="C2862" s="2">
        <f>HYPERLINK("https://svao.dolgi.msk.ru/account/1760034902/", 1760034902)</f>
        <v>1760034902</v>
      </c>
      <c r="D2862">
        <v>5335.73</v>
      </c>
    </row>
    <row r="2863" spans="1:4" x14ac:dyDescent="0.25">
      <c r="A2863" t="s">
        <v>443</v>
      </c>
      <c r="B2863" t="s">
        <v>79</v>
      </c>
      <c r="C2863" s="2">
        <f>HYPERLINK("https://svao.dolgi.msk.ru/account/1760034937/", 1760034937)</f>
        <v>1760034937</v>
      </c>
      <c r="D2863">
        <v>6231.19</v>
      </c>
    </row>
    <row r="2864" spans="1:4" x14ac:dyDescent="0.25">
      <c r="A2864" t="s">
        <v>443</v>
      </c>
      <c r="B2864" t="s">
        <v>119</v>
      </c>
      <c r="C2864" s="2">
        <f>HYPERLINK("https://svao.dolgi.msk.ru/account/1760035227/", 1760035227)</f>
        <v>1760035227</v>
      </c>
      <c r="D2864">
        <v>1125.2</v>
      </c>
    </row>
    <row r="2865" spans="1:4" x14ac:dyDescent="0.25">
      <c r="A2865" t="s">
        <v>443</v>
      </c>
      <c r="B2865" t="s">
        <v>120</v>
      </c>
      <c r="C2865" s="2">
        <f>HYPERLINK("https://svao.dolgi.msk.ru/account/1760035235/", 1760035235)</f>
        <v>1760035235</v>
      </c>
      <c r="D2865">
        <v>31587.759999999998</v>
      </c>
    </row>
    <row r="2866" spans="1:4" x14ac:dyDescent="0.25">
      <c r="A2866" t="s">
        <v>443</v>
      </c>
      <c r="B2866" t="s">
        <v>83</v>
      </c>
      <c r="C2866" s="2">
        <f>HYPERLINK("https://svao.dolgi.msk.ru/account/1760035307/", 1760035307)</f>
        <v>1760035307</v>
      </c>
      <c r="D2866">
        <v>3834.17</v>
      </c>
    </row>
    <row r="2867" spans="1:4" x14ac:dyDescent="0.25">
      <c r="A2867" t="s">
        <v>443</v>
      </c>
      <c r="B2867" t="s">
        <v>132</v>
      </c>
      <c r="C2867" s="2">
        <f>HYPERLINK("https://svao.dolgi.msk.ru/account/1760035315/", 1760035315)</f>
        <v>1760035315</v>
      </c>
      <c r="D2867">
        <v>100860.78</v>
      </c>
    </row>
    <row r="2868" spans="1:4" x14ac:dyDescent="0.25">
      <c r="A2868" t="s">
        <v>443</v>
      </c>
      <c r="B2868" t="s">
        <v>96</v>
      </c>
      <c r="C2868" s="2">
        <f>HYPERLINK("https://svao.dolgi.msk.ru/account/1760035358/", 1760035358)</f>
        <v>1760035358</v>
      </c>
      <c r="D2868">
        <v>6140.43</v>
      </c>
    </row>
    <row r="2869" spans="1:4" x14ac:dyDescent="0.25">
      <c r="A2869" t="s">
        <v>443</v>
      </c>
      <c r="B2869" t="s">
        <v>27</v>
      </c>
      <c r="C2869" s="2">
        <f>HYPERLINK("https://svao.dolgi.msk.ru/account/1760035366/", 1760035366)</f>
        <v>1760035366</v>
      </c>
      <c r="D2869">
        <v>7076.11</v>
      </c>
    </row>
    <row r="2870" spans="1:4" x14ac:dyDescent="0.25">
      <c r="A2870" t="s">
        <v>443</v>
      </c>
      <c r="B2870" t="s">
        <v>290</v>
      </c>
      <c r="C2870" s="2">
        <f>HYPERLINK("https://svao.dolgi.msk.ru/account/1760035374/", 1760035374)</f>
        <v>1760035374</v>
      </c>
      <c r="D2870">
        <v>10914.67</v>
      </c>
    </row>
    <row r="2871" spans="1:4" x14ac:dyDescent="0.25">
      <c r="A2871" t="s">
        <v>443</v>
      </c>
      <c r="B2871" t="s">
        <v>139</v>
      </c>
      <c r="C2871" s="2">
        <f>HYPERLINK("https://svao.dolgi.msk.ru/account/1760035438/", 1760035438)</f>
        <v>1760035438</v>
      </c>
      <c r="D2871">
        <v>9709.4</v>
      </c>
    </row>
    <row r="2872" spans="1:4" x14ac:dyDescent="0.25">
      <c r="A2872" t="s">
        <v>443</v>
      </c>
      <c r="B2872" t="s">
        <v>244</v>
      </c>
      <c r="C2872" s="2">
        <f>HYPERLINK("https://svao.dolgi.msk.ru/account/1760035489/", 1760035489)</f>
        <v>1760035489</v>
      </c>
      <c r="D2872">
        <v>48241.64</v>
      </c>
    </row>
    <row r="2873" spans="1:4" x14ac:dyDescent="0.25">
      <c r="A2873" t="s">
        <v>443</v>
      </c>
      <c r="B2873" t="s">
        <v>30</v>
      </c>
      <c r="C2873" s="2">
        <f>HYPERLINK("https://svao.dolgi.msk.ru/account/1760035518/", 1760035518)</f>
        <v>1760035518</v>
      </c>
      <c r="D2873">
        <v>9125.11</v>
      </c>
    </row>
    <row r="2874" spans="1:4" x14ac:dyDescent="0.25">
      <c r="A2874" t="s">
        <v>443</v>
      </c>
      <c r="B2874" t="s">
        <v>84</v>
      </c>
      <c r="C2874" s="2">
        <f>HYPERLINK("https://svao.dolgi.msk.ru/account/1760035569/", 1760035569)</f>
        <v>1760035569</v>
      </c>
      <c r="D2874">
        <v>6607.3</v>
      </c>
    </row>
    <row r="2875" spans="1:4" x14ac:dyDescent="0.25">
      <c r="A2875" t="s">
        <v>444</v>
      </c>
      <c r="B2875" t="s">
        <v>41</v>
      </c>
      <c r="C2875" s="2">
        <f>HYPERLINK("https://svao.dolgi.msk.ru/account/1760001916/", 1760001916)</f>
        <v>1760001916</v>
      </c>
      <c r="D2875">
        <v>12496.9</v>
      </c>
    </row>
    <row r="2876" spans="1:4" x14ac:dyDescent="0.25">
      <c r="A2876" t="s">
        <v>444</v>
      </c>
      <c r="B2876" t="s">
        <v>7</v>
      </c>
      <c r="C2876" s="2">
        <f>HYPERLINK("https://svao.dolgi.msk.ru/account/1760001932/", 1760001932)</f>
        <v>1760001932</v>
      </c>
      <c r="D2876">
        <v>3010.08</v>
      </c>
    </row>
    <row r="2877" spans="1:4" x14ac:dyDescent="0.25">
      <c r="A2877" t="s">
        <v>444</v>
      </c>
      <c r="B2877" t="s">
        <v>104</v>
      </c>
      <c r="C2877" s="2">
        <f>HYPERLINK("https://svao.dolgi.msk.ru/account/1760002003/", 1760002003)</f>
        <v>1760002003</v>
      </c>
      <c r="D2877">
        <v>5870.82</v>
      </c>
    </row>
    <row r="2878" spans="1:4" x14ac:dyDescent="0.25">
      <c r="A2878" t="s">
        <v>444</v>
      </c>
      <c r="B2878" t="s">
        <v>74</v>
      </c>
      <c r="C2878" s="2">
        <f>HYPERLINK("https://svao.dolgi.msk.ru/account/1760002038/", 1760002038)</f>
        <v>1760002038</v>
      </c>
      <c r="D2878">
        <v>7201.38</v>
      </c>
    </row>
    <row r="2879" spans="1:4" x14ac:dyDescent="0.25">
      <c r="A2879" t="s">
        <v>444</v>
      </c>
      <c r="B2879" t="s">
        <v>137</v>
      </c>
      <c r="C2879" s="2">
        <f>HYPERLINK("https://svao.dolgi.msk.ru/account/1760002046/", 1760002046)</f>
        <v>1760002046</v>
      </c>
      <c r="D2879">
        <v>5230.1000000000004</v>
      </c>
    </row>
    <row r="2880" spans="1:4" x14ac:dyDescent="0.25">
      <c r="A2880" t="s">
        <v>444</v>
      </c>
      <c r="B2880" t="s">
        <v>75</v>
      </c>
      <c r="C2880" s="2">
        <f>HYPERLINK("https://svao.dolgi.msk.ru/account/1760002062/", 1760002062)</f>
        <v>1760002062</v>
      </c>
      <c r="D2880">
        <v>2355.79</v>
      </c>
    </row>
    <row r="2881" spans="1:4" x14ac:dyDescent="0.25">
      <c r="A2881" t="s">
        <v>444</v>
      </c>
      <c r="B2881" t="s">
        <v>10</v>
      </c>
      <c r="C2881" s="2">
        <f>HYPERLINK("https://svao.dolgi.msk.ru/account/1760002097/", 1760002097)</f>
        <v>1760002097</v>
      </c>
      <c r="D2881">
        <v>4186.4799999999996</v>
      </c>
    </row>
    <row r="2882" spans="1:4" x14ac:dyDescent="0.25">
      <c r="A2882" t="s">
        <v>444</v>
      </c>
      <c r="B2882" t="s">
        <v>12</v>
      </c>
      <c r="C2882" s="2">
        <f>HYPERLINK("https://svao.dolgi.msk.ru/account/1760002134/", 1760002134)</f>
        <v>1760002134</v>
      </c>
      <c r="D2882">
        <v>15227.39</v>
      </c>
    </row>
    <row r="2883" spans="1:4" x14ac:dyDescent="0.25">
      <c r="A2883" t="s">
        <v>444</v>
      </c>
      <c r="B2883" t="s">
        <v>107</v>
      </c>
      <c r="C2883" s="2">
        <f>HYPERLINK("https://svao.dolgi.msk.ru/account/1760002185/", 1760002185)</f>
        <v>1760002185</v>
      </c>
      <c r="D2883">
        <v>798.31</v>
      </c>
    </row>
    <row r="2884" spans="1:4" x14ac:dyDescent="0.25">
      <c r="A2884" t="s">
        <v>444</v>
      </c>
      <c r="B2884" t="s">
        <v>108</v>
      </c>
      <c r="C2884" s="2">
        <f>HYPERLINK("https://svao.dolgi.msk.ru/account/1760002206/", 1760002206)</f>
        <v>1760002206</v>
      </c>
      <c r="D2884">
        <v>3174.55</v>
      </c>
    </row>
    <row r="2885" spans="1:4" x14ac:dyDescent="0.25">
      <c r="A2885" t="s">
        <v>444</v>
      </c>
      <c r="B2885" t="s">
        <v>93</v>
      </c>
      <c r="C2885" s="2">
        <f>HYPERLINK("https://svao.dolgi.msk.ru/account/1760002337/", 1760002337)</f>
        <v>1760002337</v>
      </c>
      <c r="D2885">
        <v>3208.73</v>
      </c>
    </row>
    <row r="2886" spans="1:4" x14ac:dyDescent="0.25">
      <c r="A2886" t="s">
        <v>444</v>
      </c>
      <c r="B2886" t="s">
        <v>112</v>
      </c>
      <c r="C2886" s="2">
        <f>HYPERLINK("https://svao.dolgi.msk.ru/account/1760002361/", 1760002361)</f>
        <v>1760002361</v>
      </c>
      <c r="D2886">
        <v>11384.37</v>
      </c>
    </row>
    <row r="2887" spans="1:4" x14ac:dyDescent="0.25">
      <c r="A2887" t="s">
        <v>444</v>
      </c>
      <c r="B2887" t="s">
        <v>21</v>
      </c>
      <c r="C2887" s="2">
        <f>HYPERLINK("https://svao.dolgi.msk.ru/account/1760002396/", 1760002396)</f>
        <v>1760002396</v>
      </c>
      <c r="D2887">
        <v>3404.98</v>
      </c>
    </row>
    <row r="2888" spans="1:4" x14ac:dyDescent="0.25">
      <c r="A2888" t="s">
        <v>444</v>
      </c>
      <c r="B2888" t="s">
        <v>77</v>
      </c>
      <c r="C2888" s="2">
        <f>HYPERLINK("https://svao.dolgi.msk.ru/account/1760002409/", 1760002409)</f>
        <v>1760002409</v>
      </c>
      <c r="D2888">
        <v>3019.65</v>
      </c>
    </row>
    <row r="2889" spans="1:4" x14ac:dyDescent="0.25">
      <c r="A2889" t="s">
        <v>444</v>
      </c>
      <c r="B2889" t="s">
        <v>131</v>
      </c>
      <c r="C2889" s="2">
        <f>HYPERLINK("https://svao.dolgi.msk.ru/account/1760002564/", 1760002564)</f>
        <v>1760002564</v>
      </c>
      <c r="D2889">
        <v>6393.48</v>
      </c>
    </row>
    <row r="2890" spans="1:4" x14ac:dyDescent="0.25">
      <c r="A2890" t="s">
        <v>444</v>
      </c>
      <c r="B2890" t="s">
        <v>80</v>
      </c>
      <c r="C2890" s="2">
        <f>HYPERLINK("https://svao.dolgi.msk.ru/account/1760002601/", 1760002601)</f>
        <v>1760002601</v>
      </c>
      <c r="D2890">
        <v>580.46</v>
      </c>
    </row>
    <row r="2891" spans="1:4" x14ac:dyDescent="0.25">
      <c r="A2891" t="s">
        <v>444</v>
      </c>
      <c r="B2891" t="s">
        <v>82</v>
      </c>
      <c r="C2891" s="2">
        <f>HYPERLINK("https://svao.dolgi.msk.ru/account/1760002687/", 1760002687)</f>
        <v>1760002687</v>
      </c>
      <c r="D2891">
        <v>1581.57</v>
      </c>
    </row>
    <row r="2892" spans="1:4" x14ac:dyDescent="0.25">
      <c r="A2892" t="s">
        <v>444</v>
      </c>
      <c r="B2892" t="s">
        <v>25</v>
      </c>
      <c r="C2892" s="2">
        <f>HYPERLINK("https://svao.dolgi.msk.ru/account/1760002708/", 1760002708)</f>
        <v>1760002708</v>
      </c>
      <c r="D2892">
        <v>5131.1499999999996</v>
      </c>
    </row>
    <row r="2893" spans="1:4" x14ac:dyDescent="0.25">
      <c r="A2893" t="s">
        <v>444</v>
      </c>
      <c r="B2893" t="s">
        <v>132</v>
      </c>
      <c r="C2893" s="2">
        <f>HYPERLINK("https://svao.dolgi.msk.ru/account/1760002724/", 1760002724)</f>
        <v>1760002724</v>
      </c>
      <c r="D2893">
        <v>3430.54</v>
      </c>
    </row>
    <row r="2894" spans="1:4" x14ac:dyDescent="0.25">
      <c r="A2894" t="s">
        <v>444</v>
      </c>
      <c r="B2894" t="s">
        <v>26</v>
      </c>
      <c r="C2894" s="2">
        <f>HYPERLINK("https://svao.dolgi.msk.ru/account/1760002732/", 1760002732)</f>
        <v>1760002732</v>
      </c>
      <c r="D2894">
        <v>5162.58</v>
      </c>
    </row>
    <row r="2895" spans="1:4" x14ac:dyDescent="0.25">
      <c r="A2895" t="s">
        <v>444</v>
      </c>
      <c r="B2895" t="s">
        <v>96</v>
      </c>
      <c r="C2895" s="2">
        <f>HYPERLINK("https://svao.dolgi.msk.ru/account/1760002767/", 1760002767)</f>
        <v>1760002767</v>
      </c>
      <c r="D2895">
        <v>3001.83</v>
      </c>
    </row>
    <row r="2896" spans="1:4" x14ac:dyDescent="0.25">
      <c r="A2896" t="s">
        <v>444</v>
      </c>
      <c r="B2896" t="s">
        <v>134</v>
      </c>
      <c r="C2896" s="2">
        <f>HYPERLINK("https://svao.dolgi.msk.ru/account/1760002812/", 1760002812)</f>
        <v>1760002812</v>
      </c>
      <c r="D2896">
        <v>8775.74</v>
      </c>
    </row>
    <row r="2897" spans="1:4" x14ac:dyDescent="0.25">
      <c r="A2897" t="s">
        <v>444</v>
      </c>
      <c r="B2897" t="s">
        <v>139</v>
      </c>
      <c r="C2897" s="2">
        <f>HYPERLINK("https://svao.dolgi.msk.ru/account/1760002839/", 1760002839)</f>
        <v>1760002839</v>
      </c>
      <c r="D2897">
        <v>21974.43</v>
      </c>
    </row>
    <row r="2898" spans="1:4" x14ac:dyDescent="0.25">
      <c r="A2898" t="s">
        <v>444</v>
      </c>
      <c r="B2898" t="s">
        <v>244</v>
      </c>
      <c r="C2898" s="2">
        <f>HYPERLINK("https://svao.dolgi.msk.ru/account/1760002863/", 1760002863)</f>
        <v>1760002863</v>
      </c>
      <c r="D2898">
        <v>4944.25</v>
      </c>
    </row>
    <row r="2899" spans="1:4" x14ac:dyDescent="0.25">
      <c r="A2899" t="s">
        <v>444</v>
      </c>
      <c r="B2899" t="s">
        <v>129</v>
      </c>
      <c r="C2899" s="2">
        <f>HYPERLINK("https://svao.dolgi.msk.ru/account/1760002871/", 1760002871)</f>
        <v>1760002871</v>
      </c>
      <c r="D2899">
        <v>108791.3</v>
      </c>
    </row>
    <row r="2900" spans="1:4" x14ac:dyDescent="0.25">
      <c r="A2900" t="s">
        <v>444</v>
      </c>
      <c r="B2900" t="s">
        <v>30</v>
      </c>
      <c r="C2900" s="2">
        <f>HYPERLINK("https://svao.dolgi.msk.ru/account/1760002898/", 1760002898)</f>
        <v>1760002898</v>
      </c>
      <c r="D2900">
        <v>7018.1</v>
      </c>
    </row>
    <row r="2901" spans="1:4" x14ac:dyDescent="0.25">
      <c r="A2901" t="s">
        <v>444</v>
      </c>
      <c r="B2901" t="s">
        <v>98</v>
      </c>
      <c r="C2901" s="2">
        <f>HYPERLINK("https://svao.dolgi.msk.ru/account/1760002943/", 1760002943)</f>
        <v>1760002943</v>
      </c>
      <c r="D2901">
        <v>4847.42</v>
      </c>
    </row>
    <row r="2902" spans="1:4" x14ac:dyDescent="0.25">
      <c r="A2902" t="s">
        <v>444</v>
      </c>
      <c r="B2902" t="s">
        <v>35</v>
      </c>
      <c r="C2902" s="2">
        <f>HYPERLINK("https://svao.dolgi.msk.ru/account/1760003022/", 1760003022)</f>
        <v>1760003022</v>
      </c>
      <c r="D2902">
        <v>25945.33</v>
      </c>
    </row>
    <row r="2903" spans="1:4" x14ac:dyDescent="0.25">
      <c r="A2903" t="s">
        <v>444</v>
      </c>
      <c r="B2903" t="s">
        <v>99</v>
      </c>
      <c r="C2903" s="2">
        <f>HYPERLINK("https://svao.dolgi.msk.ru/account/1760003049/", 1760003049)</f>
        <v>1760003049</v>
      </c>
      <c r="D2903">
        <v>3257.47</v>
      </c>
    </row>
    <row r="2904" spans="1:4" x14ac:dyDescent="0.25">
      <c r="A2904" t="s">
        <v>444</v>
      </c>
      <c r="B2904" t="s">
        <v>36</v>
      </c>
      <c r="C2904" s="2">
        <f>HYPERLINK("https://svao.dolgi.msk.ru/account/1760003102/", 1760003102)</f>
        <v>1760003102</v>
      </c>
      <c r="D2904">
        <v>5179.6000000000004</v>
      </c>
    </row>
    <row r="2905" spans="1:4" x14ac:dyDescent="0.25">
      <c r="A2905" t="s">
        <v>444</v>
      </c>
      <c r="B2905" t="s">
        <v>293</v>
      </c>
      <c r="C2905" s="2">
        <f>HYPERLINK("https://svao.dolgi.msk.ru/account/1760003137/", 1760003137)</f>
        <v>1760003137</v>
      </c>
      <c r="D2905">
        <v>10608.22</v>
      </c>
    </row>
    <row r="2906" spans="1:4" x14ac:dyDescent="0.25">
      <c r="A2906" t="s">
        <v>444</v>
      </c>
      <c r="B2906" t="s">
        <v>246</v>
      </c>
      <c r="C2906" s="2">
        <f>HYPERLINK("https://svao.dolgi.msk.ru/account/1760003188/", 1760003188)</f>
        <v>1760003188</v>
      </c>
      <c r="D2906">
        <v>1775.37</v>
      </c>
    </row>
    <row r="2907" spans="1:4" x14ac:dyDescent="0.25">
      <c r="A2907" t="s">
        <v>444</v>
      </c>
      <c r="B2907" t="s">
        <v>89</v>
      </c>
      <c r="C2907" s="2">
        <f>HYPERLINK("https://svao.dolgi.msk.ru/account/1760003233/", 1760003233)</f>
        <v>1760003233</v>
      </c>
      <c r="D2907">
        <v>3237.69</v>
      </c>
    </row>
    <row r="2908" spans="1:4" x14ac:dyDescent="0.25">
      <c r="A2908" t="s">
        <v>444</v>
      </c>
      <c r="B2908" t="s">
        <v>301</v>
      </c>
      <c r="C2908" s="2">
        <f>HYPERLINK("https://svao.dolgi.msk.ru/account/1760003321/", 1760003321)</f>
        <v>1760003321</v>
      </c>
      <c r="D2908">
        <v>6087.11</v>
      </c>
    </row>
    <row r="2909" spans="1:4" x14ac:dyDescent="0.25">
      <c r="A2909" t="s">
        <v>444</v>
      </c>
      <c r="B2909" t="s">
        <v>147</v>
      </c>
      <c r="C2909" s="2">
        <f>HYPERLINK("https://svao.dolgi.msk.ru/account/1760003487/", 1760003487)</f>
        <v>1760003487</v>
      </c>
      <c r="D2909">
        <v>7415.91</v>
      </c>
    </row>
    <row r="2910" spans="1:4" x14ac:dyDescent="0.25">
      <c r="A2910" t="s">
        <v>444</v>
      </c>
      <c r="B2910" t="s">
        <v>252</v>
      </c>
      <c r="C2910" s="2">
        <f>HYPERLINK("https://svao.dolgi.msk.ru/account/1760003508/", 1760003508)</f>
        <v>1760003508</v>
      </c>
      <c r="D2910">
        <v>4418.54</v>
      </c>
    </row>
    <row r="2911" spans="1:4" x14ac:dyDescent="0.25">
      <c r="A2911" t="s">
        <v>444</v>
      </c>
      <c r="B2911" t="s">
        <v>306</v>
      </c>
      <c r="C2911" s="2">
        <f>HYPERLINK("https://svao.dolgi.msk.ru/account/1760003516/", 1760003516)</f>
        <v>1760003516</v>
      </c>
      <c r="D2911">
        <v>587.28</v>
      </c>
    </row>
    <row r="2912" spans="1:4" x14ac:dyDescent="0.25">
      <c r="A2912" t="s">
        <v>444</v>
      </c>
      <c r="B2912" t="s">
        <v>334</v>
      </c>
      <c r="C2912" s="2">
        <f>HYPERLINK("https://svao.dolgi.msk.ru/account/1760003559/", 1760003559)</f>
        <v>1760003559</v>
      </c>
      <c r="D2912">
        <v>538.36</v>
      </c>
    </row>
    <row r="2913" spans="1:4" x14ac:dyDescent="0.25">
      <c r="A2913" t="s">
        <v>444</v>
      </c>
      <c r="B2913" t="s">
        <v>148</v>
      </c>
      <c r="C2913" s="2">
        <f>HYPERLINK("https://svao.dolgi.msk.ru/account/1760003591/", 1760003591)</f>
        <v>1760003591</v>
      </c>
      <c r="D2913">
        <v>3336.97</v>
      </c>
    </row>
    <row r="2914" spans="1:4" x14ac:dyDescent="0.25">
      <c r="A2914" t="s">
        <v>444</v>
      </c>
      <c r="B2914" t="s">
        <v>151</v>
      </c>
      <c r="C2914" s="2">
        <f>HYPERLINK("https://svao.dolgi.msk.ru/account/1760003655/", 1760003655)</f>
        <v>1760003655</v>
      </c>
      <c r="D2914">
        <v>3148.59</v>
      </c>
    </row>
    <row r="2915" spans="1:4" x14ac:dyDescent="0.25">
      <c r="A2915" t="s">
        <v>444</v>
      </c>
      <c r="B2915" t="s">
        <v>53</v>
      </c>
      <c r="C2915" s="2">
        <f>HYPERLINK("https://svao.dolgi.msk.ru/account/1760003719/", 1760003719)</f>
        <v>1760003719</v>
      </c>
      <c r="D2915">
        <v>5475.5</v>
      </c>
    </row>
    <row r="2916" spans="1:4" x14ac:dyDescent="0.25">
      <c r="A2916" t="s">
        <v>444</v>
      </c>
      <c r="B2916" t="s">
        <v>253</v>
      </c>
      <c r="C2916" s="2">
        <f>HYPERLINK("https://svao.dolgi.msk.ru/account/1760003727/", 1760003727)</f>
        <v>1760003727</v>
      </c>
      <c r="D2916">
        <v>5214.1000000000004</v>
      </c>
    </row>
    <row r="2917" spans="1:4" x14ac:dyDescent="0.25">
      <c r="A2917" t="s">
        <v>444</v>
      </c>
      <c r="B2917" t="s">
        <v>428</v>
      </c>
      <c r="C2917" s="2">
        <f>HYPERLINK("https://svao.dolgi.msk.ru/account/1760003743/", 1760003743)</f>
        <v>1760003743</v>
      </c>
      <c r="D2917">
        <v>17213.66</v>
      </c>
    </row>
    <row r="2918" spans="1:4" x14ac:dyDescent="0.25">
      <c r="A2918" t="s">
        <v>444</v>
      </c>
      <c r="B2918" t="s">
        <v>428</v>
      </c>
      <c r="C2918" s="2">
        <f>HYPERLINK("https://svao.dolgi.msk.ru/account/1760253152/", 1760253152)</f>
        <v>1760253152</v>
      </c>
      <c r="D2918">
        <v>13273.94</v>
      </c>
    </row>
    <row r="2919" spans="1:4" x14ac:dyDescent="0.25">
      <c r="A2919" t="s">
        <v>445</v>
      </c>
      <c r="B2919" t="s">
        <v>8</v>
      </c>
      <c r="C2919" s="2">
        <f>HYPERLINK("https://svao.dolgi.msk.ru/account/1768015685/", 1768015685)</f>
        <v>1768015685</v>
      </c>
      <c r="D2919">
        <v>698.87</v>
      </c>
    </row>
    <row r="2920" spans="1:4" x14ac:dyDescent="0.25">
      <c r="A2920" t="s">
        <v>445</v>
      </c>
      <c r="B2920" t="s">
        <v>74</v>
      </c>
      <c r="C2920" s="2">
        <f>HYPERLINK("https://svao.dolgi.msk.ru/account/1768015706/", 1768015706)</f>
        <v>1768015706</v>
      </c>
      <c r="D2920">
        <v>312.75</v>
      </c>
    </row>
    <row r="2921" spans="1:4" x14ac:dyDescent="0.25">
      <c r="A2921" t="s">
        <v>445</v>
      </c>
      <c r="B2921" t="s">
        <v>11</v>
      </c>
      <c r="C2921" s="2">
        <f>HYPERLINK("https://svao.dolgi.msk.ru/account/1768015773/", 1768015773)</f>
        <v>1768015773</v>
      </c>
      <c r="D2921">
        <v>797.05</v>
      </c>
    </row>
    <row r="2922" spans="1:4" x14ac:dyDescent="0.25">
      <c r="A2922" t="s">
        <v>445</v>
      </c>
      <c r="B2922" t="s">
        <v>18</v>
      </c>
      <c r="C2922" s="2">
        <f>HYPERLINK("https://svao.dolgi.msk.ru/account/1768015896/", 1768015896)</f>
        <v>1768015896</v>
      </c>
      <c r="D2922">
        <v>314.02</v>
      </c>
    </row>
    <row r="2923" spans="1:4" x14ac:dyDescent="0.25">
      <c r="A2923" t="s">
        <v>445</v>
      </c>
      <c r="B2923" t="s">
        <v>109</v>
      </c>
      <c r="C2923" s="2">
        <f>HYPERLINK("https://svao.dolgi.msk.ru/account/1768015917/", 1768015917)</f>
        <v>1768015917</v>
      </c>
      <c r="D2923">
        <v>263.91000000000003</v>
      </c>
    </row>
    <row r="2924" spans="1:4" x14ac:dyDescent="0.25">
      <c r="A2924" t="s">
        <v>445</v>
      </c>
      <c r="B2924" t="s">
        <v>93</v>
      </c>
      <c r="C2924" s="2">
        <f>HYPERLINK("https://svao.dolgi.msk.ru/account/1768015976/", 1768015976)</f>
        <v>1768015976</v>
      </c>
      <c r="D2924">
        <v>126.77</v>
      </c>
    </row>
    <row r="2925" spans="1:4" x14ac:dyDescent="0.25">
      <c r="A2925" t="s">
        <v>445</v>
      </c>
      <c r="B2925" t="s">
        <v>21</v>
      </c>
      <c r="C2925" s="2">
        <f>HYPERLINK("https://svao.dolgi.msk.ru/account/1768016012/", 1768016012)</f>
        <v>1768016012</v>
      </c>
      <c r="D2925">
        <v>1164.67</v>
      </c>
    </row>
    <row r="2926" spans="1:4" x14ac:dyDescent="0.25">
      <c r="A2926" t="s">
        <v>445</v>
      </c>
      <c r="B2926" t="s">
        <v>77</v>
      </c>
      <c r="C2926" s="2">
        <f>HYPERLINK("https://svao.dolgi.msk.ru/account/1768016039/", 1768016039)</f>
        <v>1768016039</v>
      </c>
      <c r="D2926">
        <v>100.06</v>
      </c>
    </row>
    <row r="2927" spans="1:4" x14ac:dyDescent="0.25">
      <c r="A2927" t="s">
        <v>445</v>
      </c>
      <c r="B2927" t="s">
        <v>320</v>
      </c>
      <c r="C2927" s="2">
        <f>HYPERLINK("https://svao.dolgi.msk.ru/account/1768016143/", 1768016143)</f>
        <v>1768016143</v>
      </c>
      <c r="D2927">
        <v>430.25</v>
      </c>
    </row>
    <row r="2928" spans="1:4" x14ac:dyDescent="0.25">
      <c r="A2928" t="s">
        <v>445</v>
      </c>
      <c r="B2928" t="s">
        <v>95</v>
      </c>
      <c r="C2928" s="2">
        <f>HYPERLINK("https://svao.dolgi.msk.ru/account/1768016194/", 1768016194)</f>
        <v>1768016194</v>
      </c>
      <c r="D2928">
        <v>100.26</v>
      </c>
    </row>
    <row r="2929" spans="1:4" x14ac:dyDescent="0.25">
      <c r="A2929" t="s">
        <v>445</v>
      </c>
      <c r="B2929" t="s">
        <v>243</v>
      </c>
      <c r="C2929" s="2">
        <f>HYPERLINK("https://svao.dolgi.msk.ru/account/1768016389/", 1768016389)</f>
        <v>1768016389</v>
      </c>
      <c r="D2929">
        <v>332.64</v>
      </c>
    </row>
    <row r="2930" spans="1:4" x14ac:dyDescent="0.25">
      <c r="A2930" t="s">
        <v>445</v>
      </c>
      <c r="B2930" t="s">
        <v>139</v>
      </c>
      <c r="C2930" s="2">
        <f>HYPERLINK("https://svao.dolgi.msk.ru/account/1768016426/", 1768016426)</f>
        <v>1768016426</v>
      </c>
      <c r="D2930">
        <v>102.26</v>
      </c>
    </row>
    <row r="2931" spans="1:4" x14ac:dyDescent="0.25">
      <c r="A2931" t="s">
        <v>445</v>
      </c>
      <c r="B2931" t="s">
        <v>84</v>
      </c>
      <c r="C2931" s="2">
        <f>HYPERLINK("https://svao.dolgi.msk.ru/account/1768016485/", 1768016485)</f>
        <v>1768016485</v>
      </c>
      <c r="D2931">
        <v>1275.29</v>
      </c>
    </row>
    <row r="2932" spans="1:4" x14ac:dyDescent="0.25">
      <c r="A2932" t="s">
        <v>445</v>
      </c>
      <c r="B2932" t="s">
        <v>31</v>
      </c>
      <c r="C2932" s="2">
        <f>HYPERLINK("https://svao.dolgi.msk.ru/account/1768016493/", 1768016493)</f>
        <v>1768016493</v>
      </c>
      <c r="D2932">
        <v>1644.86</v>
      </c>
    </row>
    <row r="2933" spans="1:4" x14ac:dyDescent="0.25">
      <c r="A2933" t="s">
        <v>445</v>
      </c>
      <c r="B2933" t="s">
        <v>245</v>
      </c>
      <c r="C2933" s="2">
        <f>HYPERLINK("https://svao.dolgi.msk.ru/account/1768016522/", 1768016522)</f>
        <v>1768016522</v>
      </c>
      <c r="D2933">
        <v>302.77999999999997</v>
      </c>
    </row>
    <row r="2934" spans="1:4" x14ac:dyDescent="0.25">
      <c r="A2934" t="s">
        <v>445</v>
      </c>
      <c r="B2934" t="s">
        <v>99</v>
      </c>
      <c r="C2934" s="2">
        <f>HYPERLINK("https://svao.dolgi.msk.ru/account/1768016581/", 1768016581)</f>
        <v>1768016581</v>
      </c>
      <c r="D2934">
        <v>763.78</v>
      </c>
    </row>
    <row r="2935" spans="1:4" x14ac:dyDescent="0.25">
      <c r="A2935" t="s">
        <v>445</v>
      </c>
      <c r="B2935" t="s">
        <v>86</v>
      </c>
      <c r="C2935" s="2">
        <f>HYPERLINK("https://svao.dolgi.msk.ru/account/1768016602/", 1768016602)</f>
        <v>1768016602</v>
      </c>
      <c r="D2935">
        <v>273.24</v>
      </c>
    </row>
    <row r="2936" spans="1:4" x14ac:dyDescent="0.25">
      <c r="A2936" t="s">
        <v>445</v>
      </c>
      <c r="B2936" t="s">
        <v>333</v>
      </c>
      <c r="C2936" s="2">
        <f>HYPERLINK("https://svao.dolgi.msk.ru/account/1768016629/", 1768016629)</f>
        <v>1768016629</v>
      </c>
      <c r="D2936">
        <v>167.32</v>
      </c>
    </row>
    <row r="2937" spans="1:4" x14ac:dyDescent="0.25">
      <c r="A2937" t="s">
        <v>446</v>
      </c>
      <c r="B2937" t="s">
        <v>305</v>
      </c>
      <c r="C2937" s="2">
        <f>HYPERLINK("https://svao.dolgi.msk.ru/account/1768014818/", 1768014818)</f>
        <v>1768014818</v>
      </c>
      <c r="D2937">
        <v>212.51</v>
      </c>
    </row>
    <row r="2938" spans="1:4" x14ac:dyDescent="0.25">
      <c r="A2938" t="s">
        <v>446</v>
      </c>
      <c r="B2938" t="s">
        <v>143</v>
      </c>
      <c r="C2938" s="2">
        <f>HYPERLINK("https://svao.dolgi.msk.ru/account/1768014826/", 1768014826)</f>
        <v>1768014826</v>
      </c>
      <c r="D2938">
        <v>2154.9499999999998</v>
      </c>
    </row>
    <row r="2939" spans="1:4" x14ac:dyDescent="0.25">
      <c r="A2939" t="s">
        <v>446</v>
      </c>
      <c r="B2939" t="s">
        <v>47</v>
      </c>
      <c r="C2939" s="2">
        <f>HYPERLINK("https://svao.dolgi.msk.ru/account/1768014893/", 1768014893)</f>
        <v>1768014893</v>
      </c>
      <c r="D2939">
        <v>307.04000000000002</v>
      </c>
    </row>
    <row r="2940" spans="1:4" x14ac:dyDescent="0.25">
      <c r="A2940" t="s">
        <v>446</v>
      </c>
      <c r="B2940" t="s">
        <v>251</v>
      </c>
      <c r="C2940" s="2">
        <f>HYPERLINK("https://svao.dolgi.msk.ru/account/1768014949/", 1768014949)</f>
        <v>1768014949</v>
      </c>
      <c r="D2940">
        <v>860.4</v>
      </c>
    </row>
    <row r="2941" spans="1:4" x14ac:dyDescent="0.25">
      <c r="A2941" t="s">
        <v>446</v>
      </c>
      <c r="B2941" t="s">
        <v>151</v>
      </c>
      <c r="C2941" s="2">
        <f>HYPERLINK("https://svao.dolgi.msk.ru/account/1768015079/", 1768015079)</f>
        <v>1768015079</v>
      </c>
      <c r="D2941">
        <v>145.99</v>
      </c>
    </row>
    <row r="2942" spans="1:4" x14ac:dyDescent="0.25">
      <c r="A2942" t="s">
        <v>446</v>
      </c>
      <c r="B2942" t="s">
        <v>317</v>
      </c>
      <c r="C2942" s="2">
        <f>HYPERLINK("https://svao.dolgi.msk.ru/account/1768015095/", 1768015095)</f>
        <v>1768015095</v>
      </c>
      <c r="D2942">
        <v>281.18</v>
      </c>
    </row>
    <row r="2943" spans="1:4" x14ac:dyDescent="0.25">
      <c r="A2943" t="s">
        <v>446</v>
      </c>
      <c r="B2943" t="s">
        <v>253</v>
      </c>
      <c r="C2943" s="2">
        <f>HYPERLINK("https://svao.dolgi.msk.ru/account/1768003297/", 1768003297)</f>
        <v>1768003297</v>
      </c>
      <c r="D2943">
        <v>247.29</v>
      </c>
    </row>
    <row r="2944" spans="1:4" x14ac:dyDescent="0.25">
      <c r="A2944" t="s">
        <v>446</v>
      </c>
      <c r="B2944" t="s">
        <v>318</v>
      </c>
      <c r="C2944" s="2">
        <f>HYPERLINK("https://svao.dolgi.msk.ru/account/1768015159/", 1768015159)</f>
        <v>1768015159</v>
      </c>
      <c r="D2944">
        <v>108.15</v>
      </c>
    </row>
    <row r="2945" spans="1:4" x14ac:dyDescent="0.25">
      <c r="A2945" t="s">
        <v>446</v>
      </c>
      <c r="B2945" t="s">
        <v>56</v>
      </c>
      <c r="C2945" s="2">
        <f>HYPERLINK("https://svao.dolgi.msk.ru/account/1768015212/", 1768015212)</f>
        <v>1768015212</v>
      </c>
      <c r="D2945">
        <v>226.76</v>
      </c>
    </row>
    <row r="2946" spans="1:4" x14ac:dyDescent="0.25">
      <c r="A2946" t="s">
        <v>446</v>
      </c>
      <c r="B2946" t="s">
        <v>312</v>
      </c>
      <c r="C2946" s="2">
        <f>HYPERLINK("https://svao.dolgi.msk.ru/account/1768015247/", 1768015247)</f>
        <v>1768015247</v>
      </c>
      <c r="D2946">
        <v>823.95</v>
      </c>
    </row>
    <row r="2947" spans="1:4" x14ac:dyDescent="0.25">
      <c r="A2947" t="s">
        <v>446</v>
      </c>
      <c r="B2947" t="s">
        <v>335</v>
      </c>
      <c r="C2947" s="2">
        <f>HYPERLINK("https://svao.dolgi.msk.ru/account/1768015255/", 1768015255)</f>
        <v>1768015255</v>
      </c>
      <c r="D2947">
        <v>109.81</v>
      </c>
    </row>
    <row r="2948" spans="1:4" x14ac:dyDescent="0.25">
      <c r="A2948" t="s">
        <v>446</v>
      </c>
      <c r="B2948" t="s">
        <v>155</v>
      </c>
      <c r="C2948" s="2">
        <f>HYPERLINK("https://svao.dolgi.msk.ru/account/1768015263/", 1768015263)</f>
        <v>1768015263</v>
      </c>
      <c r="D2948">
        <v>226.76</v>
      </c>
    </row>
    <row r="2949" spans="1:4" x14ac:dyDescent="0.25">
      <c r="A2949" t="s">
        <v>446</v>
      </c>
      <c r="B2949" t="s">
        <v>340</v>
      </c>
      <c r="C2949" s="2">
        <f>HYPERLINK("https://svao.dolgi.msk.ru/account/1768015319/", 1768015319)</f>
        <v>1768015319</v>
      </c>
      <c r="D2949">
        <v>524.65</v>
      </c>
    </row>
    <row r="2950" spans="1:4" x14ac:dyDescent="0.25">
      <c r="A2950" t="s">
        <v>446</v>
      </c>
      <c r="B2950" t="s">
        <v>57</v>
      </c>
      <c r="C2950" s="2">
        <f>HYPERLINK("https://svao.dolgi.msk.ru/account/1768015343/", 1768015343)</f>
        <v>1768015343</v>
      </c>
      <c r="D2950">
        <v>2590.2800000000002</v>
      </c>
    </row>
    <row r="2951" spans="1:4" x14ac:dyDescent="0.25">
      <c r="A2951" t="s">
        <v>446</v>
      </c>
      <c r="B2951" t="s">
        <v>299</v>
      </c>
      <c r="C2951" s="2">
        <f>HYPERLINK("https://svao.dolgi.msk.ru/account/1768015378/", 1768015378)</f>
        <v>1768015378</v>
      </c>
      <c r="D2951">
        <v>332.7</v>
      </c>
    </row>
    <row r="2952" spans="1:4" x14ac:dyDescent="0.25">
      <c r="A2952" t="s">
        <v>446</v>
      </c>
      <c r="B2952" t="s">
        <v>336</v>
      </c>
      <c r="C2952" s="2">
        <f>HYPERLINK("https://svao.dolgi.msk.ru/account/1768003262/", 1768003262)</f>
        <v>1768003262</v>
      </c>
      <c r="D2952">
        <v>416.74</v>
      </c>
    </row>
    <row r="2953" spans="1:4" x14ac:dyDescent="0.25">
      <c r="A2953" t="s">
        <v>446</v>
      </c>
      <c r="B2953" t="s">
        <v>60</v>
      </c>
      <c r="C2953" s="2">
        <f>HYPERLINK("https://svao.dolgi.msk.ru/account/1768015415/", 1768015415)</f>
        <v>1768015415</v>
      </c>
      <c r="D2953">
        <v>167.82</v>
      </c>
    </row>
    <row r="2954" spans="1:4" x14ac:dyDescent="0.25">
      <c r="A2954" t="s">
        <v>446</v>
      </c>
      <c r="B2954" t="s">
        <v>61</v>
      </c>
      <c r="C2954" s="2">
        <f>HYPERLINK("https://svao.dolgi.msk.ru/account/1768015466/", 1768015466)</f>
        <v>1768015466</v>
      </c>
      <c r="D2954">
        <v>675.78</v>
      </c>
    </row>
    <row r="2955" spans="1:4" x14ac:dyDescent="0.25">
      <c r="A2955" t="s">
        <v>446</v>
      </c>
      <c r="B2955" t="s">
        <v>160</v>
      </c>
      <c r="C2955" s="2">
        <f>HYPERLINK("https://svao.dolgi.msk.ru/account/1768015511/", 1768015511)</f>
        <v>1768015511</v>
      </c>
      <c r="D2955">
        <v>1804.35</v>
      </c>
    </row>
    <row r="2956" spans="1:4" x14ac:dyDescent="0.25">
      <c r="A2956" t="s">
        <v>446</v>
      </c>
      <c r="B2956" t="s">
        <v>65</v>
      </c>
      <c r="C2956" s="2">
        <f>HYPERLINK("https://svao.dolgi.msk.ru/account/1768015554/", 1768015554)</f>
        <v>1768015554</v>
      </c>
      <c r="D2956">
        <v>208.33</v>
      </c>
    </row>
    <row r="2957" spans="1:4" x14ac:dyDescent="0.25">
      <c r="A2957" t="s">
        <v>447</v>
      </c>
      <c r="B2957" t="s">
        <v>6</v>
      </c>
      <c r="C2957" s="2">
        <f>HYPERLINK("https://svao.dolgi.msk.ru/account/1760032341/", 1760032341)</f>
        <v>1760032341</v>
      </c>
      <c r="D2957">
        <v>23460.91</v>
      </c>
    </row>
    <row r="2958" spans="1:4" x14ac:dyDescent="0.25">
      <c r="A2958" t="s">
        <v>447</v>
      </c>
      <c r="B2958" t="s">
        <v>141</v>
      </c>
      <c r="C2958" s="2">
        <f>HYPERLINK("https://svao.dolgi.msk.ru/account/1760032448/", 1760032448)</f>
        <v>1760032448</v>
      </c>
      <c r="D2958">
        <v>5197.2</v>
      </c>
    </row>
    <row r="2959" spans="1:4" x14ac:dyDescent="0.25">
      <c r="A2959" t="s">
        <v>447</v>
      </c>
      <c r="B2959" t="s">
        <v>73</v>
      </c>
      <c r="C2959" s="2">
        <f>HYPERLINK("https://svao.dolgi.msk.ru/account/1760032472/", 1760032472)</f>
        <v>1760032472</v>
      </c>
      <c r="D2959">
        <v>5532.3</v>
      </c>
    </row>
    <row r="2960" spans="1:4" x14ac:dyDescent="0.25">
      <c r="A2960" t="s">
        <v>447</v>
      </c>
      <c r="B2960" t="s">
        <v>74</v>
      </c>
      <c r="C2960" s="2">
        <f>HYPERLINK("https://svao.dolgi.msk.ru/account/1760032528/", 1760032528)</f>
        <v>1760032528</v>
      </c>
      <c r="D2960">
        <v>14515.77</v>
      </c>
    </row>
    <row r="2961" spans="1:4" x14ac:dyDescent="0.25">
      <c r="A2961" t="s">
        <v>447</v>
      </c>
      <c r="B2961" t="s">
        <v>75</v>
      </c>
      <c r="C2961" s="2">
        <f>HYPERLINK("https://svao.dolgi.msk.ru/account/1760032552/", 1760032552)</f>
        <v>1760032552</v>
      </c>
      <c r="D2961">
        <v>2962.1</v>
      </c>
    </row>
    <row r="2962" spans="1:4" x14ac:dyDescent="0.25">
      <c r="A2962" t="s">
        <v>447</v>
      </c>
      <c r="B2962" t="s">
        <v>91</v>
      </c>
      <c r="C2962" s="2">
        <f>HYPERLINK("https://svao.dolgi.msk.ru/account/1760032587/", 1760032587)</f>
        <v>1760032587</v>
      </c>
      <c r="D2962">
        <v>11011.36</v>
      </c>
    </row>
    <row r="2963" spans="1:4" x14ac:dyDescent="0.25">
      <c r="A2963" t="s">
        <v>447</v>
      </c>
      <c r="B2963" t="s">
        <v>10</v>
      </c>
      <c r="C2963" s="2">
        <f>HYPERLINK("https://svao.dolgi.msk.ru/account/1760032595/", 1760032595)</f>
        <v>1760032595</v>
      </c>
      <c r="D2963">
        <v>90077.440000000002</v>
      </c>
    </row>
    <row r="2964" spans="1:4" x14ac:dyDescent="0.25">
      <c r="A2964" t="s">
        <v>447</v>
      </c>
      <c r="B2964" t="s">
        <v>11</v>
      </c>
      <c r="C2964" s="2">
        <f>HYPERLINK("https://svao.dolgi.msk.ru/account/1760032616/", 1760032616)</f>
        <v>1760032616</v>
      </c>
      <c r="D2964">
        <v>138975.54999999999</v>
      </c>
    </row>
    <row r="2965" spans="1:4" x14ac:dyDescent="0.25">
      <c r="A2965" t="s">
        <v>447</v>
      </c>
      <c r="B2965" t="s">
        <v>13</v>
      </c>
      <c r="C2965" s="2">
        <f>HYPERLINK("https://svao.dolgi.msk.ru/account/1760032632/", 1760032632)</f>
        <v>1760032632</v>
      </c>
      <c r="D2965">
        <v>1861.28</v>
      </c>
    </row>
    <row r="2966" spans="1:4" x14ac:dyDescent="0.25">
      <c r="A2966" t="s">
        <v>447</v>
      </c>
      <c r="B2966" t="s">
        <v>107</v>
      </c>
      <c r="C2966" s="2">
        <f>HYPERLINK("https://svao.dolgi.msk.ru/account/1760032683/", 1760032683)</f>
        <v>1760032683</v>
      </c>
      <c r="D2966">
        <v>7645.12</v>
      </c>
    </row>
    <row r="2967" spans="1:4" x14ac:dyDescent="0.25">
      <c r="A2967" t="s">
        <v>447</v>
      </c>
      <c r="B2967" t="s">
        <v>108</v>
      </c>
      <c r="C2967" s="2">
        <f>HYPERLINK("https://svao.dolgi.msk.ru/account/1760032704/", 1760032704)</f>
        <v>1760032704</v>
      </c>
      <c r="D2967">
        <v>12847.55</v>
      </c>
    </row>
    <row r="2968" spans="1:4" x14ac:dyDescent="0.25">
      <c r="A2968" t="s">
        <v>447</v>
      </c>
      <c r="B2968" t="s">
        <v>16</v>
      </c>
      <c r="C2968" s="2">
        <f>HYPERLINK("https://svao.dolgi.msk.ru/account/1760032712/", 1760032712)</f>
        <v>1760032712</v>
      </c>
      <c r="D2968">
        <v>4774.2299999999996</v>
      </c>
    </row>
    <row r="2969" spans="1:4" x14ac:dyDescent="0.25">
      <c r="A2969" t="s">
        <v>447</v>
      </c>
      <c r="B2969" t="s">
        <v>19</v>
      </c>
      <c r="C2969" s="2">
        <f>HYPERLINK("https://svao.dolgi.msk.ru/account/1760032763/", 1760032763)</f>
        <v>1760032763</v>
      </c>
      <c r="D2969">
        <v>428.39</v>
      </c>
    </row>
    <row r="2970" spans="1:4" x14ac:dyDescent="0.25">
      <c r="A2970" t="s">
        <v>447</v>
      </c>
      <c r="B2970" t="s">
        <v>109</v>
      </c>
      <c r="C2970" s="2">
        <f>HYPERLINK("https://svao.dolgi.msk.ru/account/1760032771/", 1760032771)</f>
        <v>1760032771</v>
      </c>
      <c r="D2970">
        <v>1751.21</v>
      </c>
    </row>
    <row r="2971" spans="1:4" x14ac:dyDescent="0.25">
      <c r="A2971" t="s">
        <v>447</v>
      </c>
      <c r="B2971" t="s">
        <v>20</v>
      </c>
      <c r="C2971" s="2">
        <f>HYPERLINK("https://svao.dolgi.msk.ru/account/1760032827/", 1760032827)</f>
        <v>1760032827</v>
      </c>
      <c r="D2971">
        <v>158036.85</v>
      </c>
    </row>
    <row r="2972" spans="1:4" x14ac:dyDescent="0.25">
      <c r="A2972" t="s">
        <v>447</v>
      </c>
      <c r="B2972" t="s">
        <v>20</v>
      </c>
      <c r="C2972" s="2">
        <f>HYPERLINK("https://svao.dolgi.msk.ru/account/1760032843/", 1760032843)</f>
        <v>1760032843</v>
      </c>
      <c r="D2972">
        <v>293.79000000000002</v>
      </c>
    </row>
    <row r="2973" spans="1:4" x14ac:dyDescent="0.25">
      <c r="A2973" t="s">
        <v>447</v>
      </c>
      <c r="B2973" t="s">
        <v>113</v>
      </c>
      <c r="C2973" s="2">
        <f>HYPERLINK("https://svao.dolgi.msk.ru/account/1760032931/", 1760032931)</f>
        <v>1760032931</v>
      </c>
      <c r="D2973">
        <v>5092.63</v>
      </c>
    </row>
    <row r="2974" spans="1:4" x14ac:dyDescent="0.25">
      <c r="A2974" t="s">
        <v>447</v>
      </c>
      <c r="B2974" t="s">
        <v>21</v>
      </c>
      <c r="C2974" s="2">
        <f>HYPERLINK("https://svao.dolgi.msk.ru/account/1760032958/", 1760032958)</f>
        <v>1760032958</v>
      </c>
      <c r="D2974">
        <v>31835.13</v>
      </c>
    </row>
    <row r="2975" spans="1:4" x14ac:dyDescent="0.25">
      <c r="A2975" t="s">
        <v>447</v>
      </c>
      <c r="B2975" t="s">
        <v>114</v>
      </c>
      <c r="C2975" s="2">
        <f>HYPERLINK("https://svao.dolgi.msk.ru/account/1760032974/", 1760032974)</f>
        <v>1760032974</v>
      </c>
      <c r="D2975">
        <v>8217.2000000000007</v>
      </c>
    </row>
    <row r="2976" spans="1:4" x14ac:dyDescent="0.25">
      <c r="A2976" t="s">
        <v>447</v>
      </c>
      <c r="B2976" t="s">
        <v>78</v>
      </c>
      <c r="C2976" s="2">
        <f>HYPERLINK("https://svao.dolgi.msk.ru/account/1761791825/", 1761791825)</f>
        <v>1761791825</v>
      </c>
      <c r="D2976">
        <v>123236.9</v>
      </c>
    </row>
    <row r="2977" spans="1:4" x14ac:dyDescent="0.25">
      <c r="A2977" t="s">
        <v>447</v>
      </c>
      <c r="B2977" t="s">
        <v>22</v>
      </c>
      <c r="C2977" s="2">
        <f>HYPERLINK("https://svao.dolgi.msk.ru/account/1760033037/", 1760033037)</f>
        <v>1760033037</v>
      </c>
      <c r="D2977">
        <v>4516.17</v>
      </c>
    </row>
    <row r="2978" spans="1:4" x14ac:dyDescent="0.25">
      <c r="A2978" t="s">
        <v>447</v>
      </c>
      <c r="B2978" t="s">
        <v>320</v>
      </c>
      <c r="C2978" s="2">
        <f>HYPERLINK("https://svao.dolgi.msk.ru/account/1760033109/", 1760033109)</f>
        <v>1760033109</v>
      </c>
      <c r="D2978">
        <v>6127.45</v>
      </c>
    </row>
    <row r="2979" spans="1:4" x14ac:dyDescent="0.25">
      <c r="A2979" t="s">
        <v>447</v>
      </c>
      <c r="B2979" t="s">
        <v>131</v>
      </c>
      <c r="C2979" s="2">
        <f>HYPERLINK("https://svao.dolgi.msk.ru/account/1760033168/", 1760033168)</f>
        <v>1760033168</v>
      </c>
      <c r="D2979">
        <v>238.18</v>
      </c>
    </row>
    <row r="2980" spans="1:4" x14ac:dyDescent="0.25">
      <c r="A2980" t="s">
        <v>447</v>
      </c>
      <c r="B2980" t="s">
        <v>126</v>
      </c>
      <c r="C2980" s="2">
        <f>HYPERLINK("https://svao.dolgi.msk.ru/account/1760260993/", 1760260993)</f>
        <v>1760260993</v>
      </c>
      <c r="D2980">
        <v>6048.05</v>
      </c>
    </row>
    <row r="2981" spans="1:4" x14ac:dyDescent="0.25">
      <c r="A2981" t="s">
        <v>447</v>
      </c>
      <c r="B2981" t="s">
        <v>80</v>
      </c>
      <c r="C2981" s="2">
        <f>HYPERLINK("https://svao.dolgi.msk.ru/account/1760033205/", 1760033205)</f>
        <v>1760033205</v>
      </c>
      <c r="D2981">
        <v>122677.49</v>
      </c>
    </row>
    <row r="2982" spans="1:4" x14ac:dyDescent="0.25">
      <c r="A2982" t="s">
        <v>447</v>
      </c>
      <c r="B2982" t="s">
        <v>82</v>
      </c>
      <c r="C2982" s="2">
        <f>HYPERLINK("https://svao.dolgi.msk.ru/account/1760033328/", 1760033328)</f>
        <v>1760033328</v>
      </c>
      <c r="D2982">
        <v>4013.74</v>
      </c>
    </row>
    <row r="2983" spans="1:4" x14ac:dyDescent="0.25">
      <c r="A2983" t="s">
        <v>447</v>
      </c>
      <c r="B2983" t="s">
        <v>128</v>
      </c>
      <c r="C2983" s="2">
        <f>HYPERLINK("https://svao.dolgi.msk.ru/account/1761795308/", 1761795308)</f>
        <v>1761795308</v>
      </c>
      <c r="D2983">
        <v>1691.71</v>
      </c>
    </row>
    <row r="2984" spans="1:4" x14ac:dyDescent="0.25">
      <c r="A2984" t="s">
        <v>447</v>
      </c>
      <c r="B2984" t="s">
        <v>128</v>
      </c>
      <c r="C2984" s="2">
        <f>HYPERLINK("https://svao.dolgi.msk.ru/account/1761795324/", 1761795324)</f>
        <v>1761795324</v>
      </c>
      <c r="D2984">
        <v>2896.13</v>
      </c>
    </row>
    <row r="2985" spans="1:4" x14ac:dyDescent="0.25">
      <c r="A2985" t="s">
        <v>447</v>
      </c>
      <c r="B2985" t="s">
        <v>132</v>
      </c>
      <c r="C2985" s="2">
        <f>HYPERLINK("https://svao.dolgi.msk.ru/account/1760033408/", 1760033408)</f>
        <v>1760033408</v>
      </c>
      <c r="D2985">
        <v>4657.37</v>
      </c>
    </row>
    <row r="2986" spans="1:4" x14ac:dyDescent="0.25">
      <c r="A2986" t="s">
        <v>447</v>
      </c>
      <c r="B2986" t="s">
        <v>133</v>
      </c>
      <c r="C2986" s="2">
        <f>HYPERLINK("https://svao.dolgi.msk.ru/account/1760033424/", 1760033424)</f>
        <v>1760033424</v>
      </c>
      <c r="D2986">
        <v>13754.22</v>
      </c>
    </row>
    <row r="2987" spans="1:4" x14ac:dyDescent="0.25">
      <c r="A2987" t="s">
        <v>447</v>
      </c>
      <c r="B2987" t="s">
        <v>121</v>
      </c>
      <c r="C2987" s="2">
        <f>HYPERLINK("https://svao.dolgi.msk.ru/account/1760033483/", 1760033483)</f>
        <v>1760033483</v>
      </c>
      <c r="D2987">
        <v>4806</v>
      </c>
    </row>
    <row r="2988" spans="1:4" x14ac:dyDescent="0.25">
      <c r="A2988" t="s">
        <v>447</v>
      </c>
      <c r="B2988" t="s">
        <v>139</v>
      </c>
      <c r="C2988" s="2">
        <f>HYPERLINK("https://svao.dolgi.msk.ru/account/1760033504/", 1760033504)</f>
        <v>1760033504</v>
      </c>
      <c r="D2988">
        <v>8656.99</v>
      </c>
    </row>
    <row r="2989" spans="1:4" x14ac:dyDescent="0.25">
      <c r="A2989" t="s">
        <v>447</v>
      </c>
      <c r="B2989" t="s">
        <v>30</v>
      </c>
      <c r="C2989" s="2">
        <f>HYPERLINK("https://svao.dolgi.msk.ru/account/1760033598/", 1760033598)</f>
        <v>1760033598</v>
      </c>
      <c r="D2989">
        <v>5555.54</v>
      </c>
    </row>
    <row r="2990" spans="1:4" x14ac:dyDescent="0.25">
      <c r="A2990" t="s">
        <v>447</v>
      </c>
      <c r="B2990" t="s">
        <v>84</v>
      </c>
      <c r="C2990" s="2">
        <f>HYPERLINK("https://svao.dolgi.msk.ru/account/1760033627/", 1760033627)</f>
        <v>1760033627</v>
      </c>
      <c r="D2990">
        <v>5538.49</v>
      </c>
    </row>
    <row r="2991" spans="1:4" x14ac:dyDescent="0.25">
      <c r="A2991" t="s">
        <v>447</v>
      </c>
      <c r="B2991" t="s">
        <v>99</v>
      </c>
      <c r="C2991" s="2">
        <f>HYPERLINK("https://svao.dolgi.msk.ru/account/1760033774/", 1760033774)</f>
        <v>1760033774</v>
      </c>
      <c r="D2991">
        <v>6608.28</v>
      </c>
    </row>
    <row r="2992" spans="1:4" x14ac:dyDescent="0.25">
      <c r="A2992" t="s">
        <v>447</v>
      </c>
      <c r="B2992" t="s">
        <v>36</v>
      </c>
      <c r="C2992" s="2">
        <f>HYPERLINK("https://svao.dolgi.msk.ru/account/1760033854/", 1760033854)</f>
        <v>1760033854</v>
      </c>
      <c r="D2992">
        <v>3594.83</v>
      </c>
    </row>
    <row r="2993" spans="1:4" x14ac:dyDescent="0.25">
      <c r="A2993" t="s">
        <v>447</v>
      </c>
      <c r="B2993" t="s">
        <v>38</v>
      </c>
      <c r="C2993" s="2">
        <f>HYPERLINK("https://svao.dolgi.msk.ru/account/1760033926/", 1760033926)</f>
        <v>1760033926</v>
      </c>
      <c r="D2993">
        <v>199.37</v>
      </c>
    </row>
    <row r="2994" spans="1:4" x14ac:dyDescent="0.25">
      <c r="A2994" t="s">
        <v>447</v>
      </c>
      <c r="B2994" t="s">
        <v>38</v>
      </c>
      <c r="C2994" s="2">
        <f>HYPERLINK("https://svao.dolgi.msk.ru/account/1760033934/", 1760033934)</f>
        <v>1760033934</v>
      </c>
      <c r="D2994">
        <v>150.63</v>
      </c>
    </row>
    <row r="2995" spans="1:4" x14ac:dyDescent="0.25">
      <c r="A2995" t="s">
        <v>447</v>
      </c>
      <c r="B2995" t="s">
        <v>44</v>
      </c>
      <c r="C2995" s="2">
        <f>HYPERLINK("https://svao.dolgi.msk.ru/account/1760033993/", 1760033993)</f>
        <v>1760033993</v>
      </c>
      <c r="D2995">
        <v>17180.93</v>
      </c>
    </row>
    <row r="2996" spans="1:4" x14ac:dyDescent="0.25">
      <c r="A2996" t="s">
        <v>447</v>
      </c>
      <c r="B2996" t="s">
        <v>143</v>
      </c>
      <c r="C2996" s="2">
        <f>HYPERLINK("https://svao.dolgi.msk.ru/account/1760034064/", 1760034064)</f>
        <v>1760034064</v>
      </c>
      <c r="D2996">
        <v>5466.27</v>
      </c>
    </row>
    <row r="2997" spans="1:4" x14ac:dyDescent="0.25">
      <c r="A2997" t="s">
        <v>447</v>
      </c>
      <c r="B2997" t="s">
        <v>144</v>
      </c>
      <c r="C2997" s="2">
        <f>HYPERLINK("https://svao.dolgi.msk.ru/account/1760034099/", 1760034099)</f>
        <v>1760034099</v>
      </c>
      <c r="D2997">
        <v>1676.51</v>
      </c>
    </row>
    <row r="2998" spans="1:4" x14ac:dyDescent="0.25">
      <c r="A2998" t="s">
        <v>447</v>
      </c>
      <c r="B2998" t="s">
        <v>315</v>
      </c>
      <c r="C2998" s="2">
        <f>HYPERLINK("https://svao.dolgi.msk.ru/account/1760034101/", 1760034101)</f>
        <v>1760034101</v>
      </c>
      <c r="D2998">
        <v>5963.59</v>
      </c>
    </row>
    <row r="2999" spans="1:4" x14ac:dyDescent="0.25">
      <c r="A2999" t="s">
        <v>447</v>
      </c>
      <c r="B2999" t="s">
        <v>46</v>
      </c>
      <c r="C2999" s="2">
        <f>HYPERLINK("https://svao.dolgi.msk.ru/account/1760034144/", 1760034144)</f>
        <v>1760034144</v>
      </c>
      <c r="D2999">
        <v>14274.76</v>
      </c>
    </row>
    <row r="3000" spans="1:4" x14ac:dyDescent="0.25">
      <c r="A3000" t="s">
        <v>447</v>
      </c>
      <c r="B3000" t="s">
        <v>47</v>
      </c>
      <c r="C3000" s="2">
        <f>HYPERLINK("https://svao.dolgi.msk.ru/account/1760034195/", 1760034195)</f>
        <v>1760034195</v>
      </c>
      <c r="D3000">
        <v>327473.74</v>
      </c>
    </row>
    <row r="3001" spans="1:4" x14ac:dyDescent="0.25">
      <c r="A3001" t="s">
        <v>448</v>
      </c>
      <c r="B3001" t="s">
        <v>48</v>
      </c>
      <c r="C3001" s="2">
        <f>HYPERLINK("https://svao.dolgi.msk.ru/account/1760058381/", 1760058381)</f>
        <v>1760058381</v>
      </c>
      <c r="D3001">
        <v>16750.080000000002</v>
      </c>
    </row>
    <row r="3002" spans="1:4" x14ac:dyDescent="0.25">
      <c r="A3002" t="s">
        <v>448</v>
      </c>
      <c r="B3002" t="s">
        <v>49</v>
      </c>
      <c r="C3002" s="2">
        <f>HYPERLINK("https://svao.dolgi.msk.ru/account/1760058402/", 1760058402)</f>
        <v>1760058402</v>
      </c>
      <c r="D3002">
        <v>1813.68</v>
      </c>
    </row>
    <row r="3003" spans="1:4" x14ac:dyDescent="0.25">
      <c r="A3003" t="s">
        <v>448</v>
      </c>
      <c r="B3003" t="s">
        <v>147</v>
      </c>
      <c r="C3003" s="2">
        <f>HYPERLINK("https://svao.dolgi.msk.ru/account/1760058437/", 1760058437)</f>
        <v>1760058437</v>
      </c>
      <c r="D3003">
        <v>4141.68</v>
      </c>
    </row>
    <row r="3004" spans="1:4" x14ac:dyDescent="0.25">
      <c r="A3004" t="s">
        <v>448</v>
      </c>
      <c r="B3004" t="s">
        <v>306</v>
      </c>
      <c r="C3004" s="2">
        <f>HYPERLINK("https://svao.dolgi.msk.ru/account/1760058461/", 1760058461)</f>
        <v>1760058461</v>
      </c>
      <c r="D3004">
        <v>3536.44</v>
      </c>
    </row>
    <row r="3005" spans="1:4" x14ac:dyDescent="0.25">
      <c r="A3005" t="s">
        <v>448</v>
      </c>
      <c r="B3005" t="s">
        <v>50</v>
      </c>
      <c r="C3005" s="2">
        <f>HYPERLINK("https://svao.dolgi.msk.ru/account/1760058488/", 1760058488)</f>
        <v>1760058488</v>
      </c>
      <c r="D3005">
        <v>4667.84</v>
      </c>
    </row>
    <row r="3006" spans="1:4" x14ac:dyDescent="0.25">
      <c r="A3006" t="s">
        <v>448</v>
      </c>
      <c r="B3006" t="s">
        <v>334</v>
      </c>
      <c r="C3006" s="2">
        <f>HYPERLINK("https://svao.dolgi.msk.ru/account/1760058509/", 1760058509)</f>
        <v>1760058509</v>
      </c>
      <c r="D3006">
        <v>3557.36</v>
      </c>
    </row>
    <row r="3007" spans="1:4" x14ac:dyDescent="0.25">
      <c r="A3007" t="s">
        <v>448</v>
      </c>
      <c r="B3007" t="s">
        <v>316</v>
      </c>
      <c r="C3007" s="2">
        <f>HYPERLINK("https://svao.dolgi.msk.ru/account/1760058533/", 1760058533)</f>
        <v>1760058533</v>
      </c>
      <c r="D3007">
        <v>2818.4</v>
      </c>
    </row>
    <row r="3008" spans="1:4" x14ac:dyDescent="0.25">
      <c r="A3008" t="s">
        <v>448</v>
      </c>
      <c r="B3008" t="s">
        <v>149</v>
      </c>
      <c r="C3008" s="2">
        <f>HYPERLINK("https://svao.dolgi.msk.ru/account/1760058576/", 1760058576)</f>
        <v>1760058576</v>
      </c>
      <c r="D3008">
        <v>14884.73</v>
      </c>
    </row>
    <row r="3009" spans="1:4" x14ac:dyDescent="0.25">
      <c r="A3009" t="s">
        <v>448</v>
      </c>
      <c r="B3009" t="s">
        <v>151</v>
      </c>
      <c r="C3009" s="2">
        <f>HYPERLINK("https://svao.dolgi.msk.ru/account/1760058605/", 1760058605)</f>
        <v>1760058605</v>
      </c>
      <c r="D3009">
        <v>2221.0500000000002</v>
      </c>
    </row>
    <row r="3010" spans="1:4" x14ac:dyDescent="0.25">
      <c r="A3010" t="s">
        <v>448</v>
      </c>
      <c r="B3010" t="s">
        <v>53</v>
      </c>
      <c r="C3010" s="2">
        <f>HYPERLINK("https://svao.dolgi.msk.ru/account/1760058656/", 1760058656)</f>
        <v>1760058656</v>
      </c>
      <c r="D3010">
        <v>2516.2800000000002</v>
      </c>
    </row>
    <row r="3011" spans="1:4" x14ac:dyDescent="0.25">
      <c r="A3011" t="s">
        <v>448</v>
      </c>
      <c r="B3011" t="s">
        <v>54</v>
      </c>
      <c r="C3011" s="2">
        <f>HYPERLINK("https://svao.dolgi.msk.ru/account/1760058672/", 1760058672)</f>
        <v>1760058672</v>
      </c>
      <c r="D3011">
        <v>7180.57</v>
      </c>
    </row>
    <row r="3012" spans="1:4" x14ac:dyDescent="0.25">
      <c r="A3012" t="s">
        <v>448</v>
      </c>
      <c r="B3012" t="s">
        <v>428</v>
      </c>
      <c r="C3012" s="2">
        <f>HYPERLINK("https://svao.dolgi.msk.ru/account/1760058699/", 1760058699)</f>
        <v>1760058699</v>
      </c>
      <c r="D3012">
        <v>1815.03</v>
      </c>
    </row>
    <row r="3013" spans="1:4" x14ac:dyDescent="0.25">
      <c r="A3013" t="s">
        <v>448</v>
      </c>
      <c r="B3013" t="s">
        <v>309</v>
      </c>
      <c r="C3013" s="2">
        <f>HYPERLINK("https://svao.dolgi.msk.ru/account/1760058728/", 1760058728)</f>
        <v>1760058728</v>
      </c>
      <c r="D3013">
        <v>1765.25</v>
      </c>
    </row>
    <row r="3014" spans="1:4" x14ac:dyDescent="0.25">
      <c r="A3014" t="s">
        <v>448</v>
      </c>
      <c r="B3014" t="s">
        <v>254</v>
      </c>
      <c r="C3014" s="2">
        <f>HYPERLINK("https://svao.dolgi.msk.ru/account/1760058736/", 1760058736)</f>
        <v>1760058736</v>
      </c>
      <c r="D3014">
        <v>3522.56</v>
      </c>
    </row>
    <row r="3015" spans="1:4" x14ac:dyDescent="0.25">
      <c r="A3015" t="s">
        <v>448</v>
      </c>
      <c r="B3015" t="s">
        <v>55</v>
      </c>
      <c r="C3015" s="2">
        <f>HYPERLINK("https://svao.dolgi.msk.ru/account/1760058779/", 1760058779)</f>
        <v>1760058779</v>
      </c>
      <c r="D3015">
        <v>3803.74</v>
      </c>
    </row>
    <row r="3016" spans="1:4" x14ac:dyDescent="0.25">
      <c r="A3016" t="s">
        <v>448</v>
      </c>
      <c r="B3016" t="s">
        <v>56</v>
      </c>
      <c r="C3016" s="2">
        <f>HYPERLINK("https://svao.dolgi.msk.ru/account/1760058824/", 1760058824)</f>
        <v>1760058824</v>
      </c>
      <c r="D3016">
        <v>3592.63</v>
      </c>
    </row>
    <row r="3017" spans="1:4" x14ac:dyDescent="0.25">
      <c r="A3017" t="s">
        <v>448</v>
      </c>
      <c r="B3017" t="s">
        <v>154</v>
      </c>
      <c r="C3017" s="2">
        <f>HYPERLINK("https://svao.dolgi.msk.ru/account/1760058832/", 1760058832)</f>
        <v>1760058832</v>
      </c>
      <c r="D3017">
        <v>3674.96</v>
      </c>
    </row>
    <row r="3018" spans="1:4" x14ac:dyDescent="0.25">
      <c r="A3018" t="s">
        <v>448</v>
      </c>
      <c r="B3018" t="s">
        <v>328</v>
      </c>
      <c r="C3018" s="2">
        <f>HYPERLINK("https://svao.dolgi.msk.ru/account/1760058859/", 1760058859)</f>
        <v>1760058859</v>
      </c>
      <c r="D3018">
        <v>4029.22</v>
      </c>
    </row>
    <row r="3019" spans="1:4" x14ac:dyDescent="0.25">
      <c r="A3019" t="s">
        <v>448</v>
      </c>
      <c r="B3019" t="s">
        <v>155</v>
      </c>
      <c r="C3019" s="2">
        <f>HYPERLINK("https://svao.dolgi.msk.ru/account/1760058883/", 1760058883)</f>
        <v>1760058883</v>
      </c>
      <c r="D3019">
        <v>3369.58</v>
      </c>
    </row>
    <row r="3020" spans="1:4" x14ac:dyDescent="0.25">
      <c r="A3020" t="s">
        <v>448</v>
      </c>
      <c r="B3020" t="s">
        <v>155</v>
      </c>
      <c r="C3020" s="2">
        <f>HYPERLINK("https://svao.dolgi.msk.ru/account/1760270454/", 1760270454)</f>
        <v>1760270454</v>
      </c>
      <c r="D3020">
        <v>1470.52</v>
      </c>
    </row>
    <row r="3021" spans="1:4" x14ac:dyDescent="0.25">
      <c r="A3021" t="s">
        <v>448</v>
      </c>
      <c r="B3021" t="s">
        <v>429</v>
      </c>
      <c r="C3021" s="2">
        <f>HYPERLINK("https://svao.dolgi.msk.ru/account/1760058912/", 1760058912)</f>
        <v>1760058912</v>
      </c>
      <c r="D3021">
        <v>3741.69</v>
      </c>
    </row>
    <row r="3022" spans="1:4" x14ac:dyDescent="0.25">
      <c r="A3022" t="s">
        <v>448</v>
      </c>
      <c r="B3022" t="s">
        <v>340</v>
      </c>
      <c r="C3022" s="2">
        <f>HYPERLINK("https://svao.dolgi.msk.ru/account/1760058939/", 1760058939)</f>
        <v>1760058939</v>
      </c>
      <c r="D3022">
        <v>4973.07</v>
      </c>
    </row>
    <row r="3023" spans="1:4" x14ac:dyDescent="0.25">
      <c r="A3023" t="s">
        <v>448</v>
      </c>
      <c r="B3023" t="s">
        <v>377</v>
      </c>
      <c r="C3023" s="2">
        <f>HYPERLINK("https://svao.dolgi.msk.ru/account/1760058955/", 1760058955)</f>
        <v>1760058955</v>
      </c>
      <c r="D3023">
        <v>4193.1899999999996</v>
      </c>
    </row>
    <row r="3024" spans="1:4" x14ac:dyDescent="0.25">
      <c r="A3024" t="s">
        <v>448</v>
      </c>
      <c r="B3024" t="s">
        <v>299</v>
      </c>
      <c r="C3024" s="2">
        <f>HYPERLINK("https://svao.dolgi.msk.ru/account/1760058998/", 1760058998)</f>
        <v>1760058998</v>
      </c>
      <c r="D3024">
        <v>3637.7</v>
      </c>
    </row>
    <row r="3025" spans="1:4" x14ac:dyDescent="0.25">
      <c r="A3025" t="s">
        <v>448</v>
      </c>
      <c r="B3025" t="s">
        <v>336</v>
      </c>
      <c r="C3025" s="2">
        <f>HYPERLINK("https://svao.dolgi.msk.ru/account/1760059042/", 1760059042)</f>
        <v>1760059042</v>
      </c>
      <c r="D3025">
        <v>4652.3599999999997</v>
      </c>
    </row>
    <row r="3026" spans="1:4" x14ac:dyDescent="0.25">
      <c r="A3026" t="s">
        <v>448</v>
      </c>
      <c r="B3026" t="s">
        <v>60</v>
      </c>
      <c r="C3026" s="2">
        <f>HYPERLINK("https://svao.dolgi.msk.ru/account/1760059069/", 1760059069)</f>
        <v>1760059069</v>
      </c>
      <c r="D3026">
        <v>319.27999999999997</v>
      </c>
    </row>
    <row r="3027" spans="1:4" x14ac:dyDescent="0.25">
      <c r="A3027" t="s">
        <v>448</v>
      </c>
      <c r="B3027" t="s">
        <v>343</v>
      </c>
      <c r="C3027" s="2">
        <f>HYPERLINK("https://svao.dolgi.msk.ru/account/1760059093/", 1760059093)</f>
        <v>1760059093</v>
      </c>
      <c r="D3027">
        <v>723.26</v>
      </c>
    </row>
    <row r="3028" spans="1:4" x14ac:dyDescent="0.25">
      <c r="A3028" t="s">
        <v>448</v>
      </c>
      <c r="B3028" t="s">
        <v>257</v>
      </c>
      <c r="C3028" s="2">
        <f>HYPERLINK("https://svao.dolgi.msk.ru/account/1760059149/", 1760059149)</f>
        <v>1760059149</v>
      </c>
      <c r="D3028">
        <v>7287.66</v>
      </c>
    </row>
    <row r="3029" spans="1:4" x14ac:dyDescent="0.25">
      <c r="A3029" t="s">
        <v>448</v>
      </c>
      <c r="B3029" t="s">
        <v>160</v>
      </c>
      <c r="C3029" s="2">
        <f>HYPERLINK("https://svao.dolgi.msk.ru/account/1760059165/", 1760059165)</f>
        <v>1760059165</v>
      </c>
      <c r="D3029">
        <v>297.92</v>
      </c>
    </row>
    <row r="3030" spans="1:4" x14ac:dyDescent="0.25">
      <c r="A3030" t="s">
        <v>448</v>
      </c>
      <c r="B3030" t="s">
        <v>63</v>
      </c>
      <c r="C3030" s="2">
        <f>HYPERLINK("https://svao.dolgi.msk.ru/account/1760059173/", 1760059173)</f>
        <v>1760059173</v>
      </c>
      <c r="D3030">
        <v>456.03</v>
      </c>
    </row>
    <row r="3031" spans="1:4" x14ac:dyDescent="0.25">
      <c r="A3031" t="s">
        <v>448</v>
      </c>
      <c r="B3031" t="s">
        <v>346</v>
      </c>
      <c r="C3031" s="2">
        <f>HYPERLINK("https://svao.dolgi.msk.ru/account/1760059253/", 1760059253)</f>
        <v>1760059253</v>
      </c>
      <c r="D3031">
        <v>3619.82</v>
      </c>
    </row>
    <row r="3032" spans="1:4" x14ac:dyDescent="0.25">
      <c r="A3032" t="s">
        <v>448</v>
      </c>
      <c r="B3032" t="s">
        <v>67</v>
      </c>
      <c r="C3032" s="2">
        <f>HYPERLINK("https://svao.dolgi.msk.ru/account/1760059261/", 1760059261)</f>
        <v>1760059261</v>
      </c>
      <c r="D3032">
        <v>939.54</v>
      </c>
    </row>
    <row r="3033" spans="1:4" x14ac:dyDescent="0.25">
      <c r="A3033" t="s">
        <v>448</v>
      </c>
      <c r="B3033" t="s">
        <v>379</v>
      </c>
      <c r="C3033" s="2">
        <f>HYPERLINK("https://svao.dolgi.msk.ru/account/1760059288/", 1760059288)</f>
        <v>1760059288</v>
      </c>
      <c r="D3033">
        <v>10480.790000000001</v>
      </c>
    </row>
    <row r="3034" spans="1:4" x14ac:dyDescent="0.25">
      <c r="A3034" t="s">
        <v>448</v>
      </c>
      <c r="B3034" t="s">
        <v>162</v>
      </c>
      <c r="C3034" s="2">
        <f>HYPERLINK("https://svao.dolgi.msk.ru/account/1760059325/", 1760059325)</f>
        <v>1760059325</v>
      </c>
      <c r="D3034">
        <v>127051.57</v>
      </c>
    </row>
    <row r="3035" spans="1:4" x14ac:dyDescent="0.25">
      <c r="A3035" t="s">
        <v>448</v>
      </c>
      <c r="B3035" t="s">
        <v>434</v>
      </c>
      <c r="C3035" s="2">
        <f>HYPERLINK("https://svao.dolgi.msk.ru/account/1760059368/", 1760059368)</f>
        <v>1760059368</v>
      </c>
      <c r="D3035">
        <v>3411.43</v>
      </c>
    </row>
    <row r="3036" spans="1:4" x14ac:dyDescent="0.25">
      <c r="A3036" t="s">
        <v>448</v>
      </c>
      <c r="B3036" t="s">
        <v>262</v>
      </c>
      <c r="C3036" s="2">
        <f>HYPERLINK("https://svao.dolgi.msk.ru/account/1760059472/", 1760059472)</f>
        <v>1760059472</v>
      </c>
      <c r="D3036">
        <v>12504.98</v>
      </c>
    </row>
    <row r="3037" spans="1:4" x14ac:dyDescent="0.25">
      <c r="A3037" t="s">
        <v>448</v>
      </c>
      <c r="B3037" t="s">
        <v>347</v>
      </c>
      <c r="C3037" s="2">
        <f>HYPERLINK("https://svao.dolgi.msk.ru/account/1760059499/", 1760059499)</f>
        <v>1760059499</v>
      </c>
      <c r="D3037">
        <v>3206.02</v>
      </c>
    </row>
    <row r="3038" spans="1:4" x14ac:dyDescent="0.25">
      <c r="A3038" t="s">
        <v>448</v>
      </c>
      <c r="B3038" t="s">
        <v>265</v>
      </c>
      <c r="C3038" s="2">
        <f>HYPERLINK("https://svao.dolgi.msk.ru/account/1760059691/", 1760059691)</f>
        <v>1760059691</v>
      </c>
      <c r="D3038">
        <v>2207.0100000000002</v>
      </c>
    </row>
    <row r="3039" spans="1:4" x14ac:dyDescent="0.25">
      <c r="A3039" t="s">
        <v>448</v>
      </c>
      <c r="B3039" t="s">
        <v>431</v>
      </c>
      <c r="C3039" s="2">
        <f>HYPERLINK("https://svao.dolgi.msk.ru/account/1760059712/", 1760059712)</f>
        <v>1760059712</v>
      </c>
      <c r="D3039">
        <v>2623.84</v>
      </c>
    </row>
    <row r="3040" spans="1:4" x14ac:dyDescent="0.25">
      <c r="A3040" t="s">
        <v>448</v>
      </c>
      <c r="B3040" t="s">
        <v>436</v>
      </c>
      <c r="C3040" s="2">
        <f>HYPERLINK("https://svao.dolgi.msk.ru/account/1760059739/", 1760059739)</f>
        <v>1760059739</v>
      </c>
      <c r="D3040">
        <v>21817.35</v>
      </c>
    </row>
    <row r="3041" spans="1:4" x14ac:dyDescent="0.25">
      <c r="A3041" t="s">
        <v>448</v>
      </c>
      <c r="B3041" t="s">
        <v>349</v>
      </c>
      <c r="C3041" s="2">
        <f>HYPERLINK("https://svao.dolgi.msk.ru/account/1760059755/", 1760059755)</f>
        <v>1760059755</v>
      </c>
      <c r="D3041">
        <v>6728.13</v>
      </c>
    </row>
    <row r="3042" spans="1:4" x14ac:dyDescent="0.25">
      <c r="A3042" t="s">
        <v>448</v>
      </c>
      <c r="B3042" t="s">
        <v>351</v>
      </c>
      <c r="C3042" s="2">
        <f>HYPERLINK("https://svao.dolgi.msk.ru/account/1760059819/", 1760059819)</f>
        <v>1760059819</v>
      </c>
      <c r="D3042">
        <v>207.38</v>
      </c>
    </row>
    <row r="3043" spans="1:4" x14ac:dyDescent="0.25">
      <c r="A3043" t="s">
        <v>448</v>
      </c>
      <c r="B3043" t="s">
        <v>432</v>
      </c>
      <c r="C3043" s="2">
        <f>HYPERLINK("https://svao.dolgi.msk.ru/account/1760059827/", 1760059827)</f>
        <v>1760059827</v>
      </c>
      <c r="D3043">
        <v>21027.17</v>
      </c>
    </row>
    <row r="3044" spans="1:4" x14ac:dyDescent="0.25">
      <c r="A3044" t="s">
        <v>448</v>
      </c>
      <c r="B3044" t="s">
        <v>267</v>
      </c>
      <c r="C3044" s="2">
        <f>HYPERLINK("https://svao.dolgi.msk.ru/account/1760059886/", 1760059886)</f>
        <v>1760059886</v>
      </c>
      <c r="D3044">
        <v>3294.79</v>
      </c>
    </row>
    <row r="3045" spans="1:4" x14ac:dyDescent="0.25">
      <c r="A3045" t="s">
        <v>449</v>
      </c>
      <c r="B3045" t="s">
        <v>6</v>
      </c>
      <c r="C3045" s="2">
        <f>HYPERLINK("https://svao.dolgi.msk.ru/account/1761768457/", 1761768457)</f>
        <v>1761768457</v>
      </c>
      <c r="D3045">
        <v>11395.83</v>
      </c>
    </row>
    <row r="3046" spans="1:4" x14ac:dyDescent="0.25">
      <c r="A3046" t="s">
        <v>449</v>
      </c>
      <c r="B3046" t="s">
        <v>41</v>
      </c>
      <c r="C3046" s="2">
        <f>HYPERLINK("https://svao.dolgi.msk.ru/account/1761768465/", 1761768465)</f>
        <v>1761768465</v>
      </c>
      <c r="D3046">
        <v>6159.22</v>
      </c>
    </row>
    <row r="3047" spans="1:4" x14ac:dyDescent="0.25">
      <c r="A3047" t="s">
        <v>449</v>
      </c>
      <c r="B3047" t="s">
        <v>5</v>
      </c>
      <c r="C3047" s="2">
        <f>HYPERLINK("https://svao.dolgi.msk.ru/account/1761768473/", 1761768473)</f>
        <v>1761768473</v>
      </c>
      <c r="D3047">
        <v>17000.080000000002</v>
      </c>
    </row>
    <row r="3048" spans="1:4" x14ac:dyDescent="0.25">
      <c r="A3048" t="s">
        <v>449</v>
      </c>
      <c r="B3048" t="s">
        <v>7</v>
      </c>
      <c r="C3048" s="2">
        <f>HYPERLINK("https://svao.dolgi.msk.ru/account/1761768481/", 1761768481)</f>
        <v>1761768481</v>
      </c>
      <c r="D3048">
        <v>13900.27</v>
      </c>
    </row>
    <row r="3049" spans="1:4" x14ac:dyDescent="0.25">
      <c r="A3049" t="s">
        <v>449</v>
      </c>
      <c r="B3049" t="s">
        <v>101</v>
      </c>
      <c r="C3049" s="2">
        <f>HYPERLINK("https://svao.dolgi.msk.ru/account/1761768502/", 1761768502)</f>
        <v>1761768502</v>
      </c>
      <c r="D3049">
        <v>11817.1</v>
      </c>
    </row>
    <row r="3050" spans="1:4" x14ac:dyDescent="0.25">
      <c r="A3050" t="s">
        <v>449</v>
      </c>
      <c r="B3050" t="s">
        <v>141</v>
      </c>
      <c r="C3050" s="2">
        <f>HYPERLINK("https://svao.dolgi.msk.ru/account/1761783032/", 1761783032)</f>
        <v>1761783032</v>
      </c>
      <c r="D3050">
        <v>5407.05</v>
      </c>
    </row>
    <row r="3051" spans="1:4" x14ac:dyDescent="0.25">
      <c r="A3051" t="s">
        <v>449</v>
      </c>
      <c r="B3051" t="s">
        <v>102</v>
      </c>
      <c r="C3051" s="2">
        <f>HYPERLINK("https://svao.dolgi.msk.ru/account/1761783083/", 1761783083)</f>
        <v>1761783083</v>
      </c>
      <c r="D3051">
        <v>2551.38</v>
      </c>
    </row>
    <row r="3052" spans="1:4" x14ac:dyDescent="0.25">
      <c r="A3052" t="s">
        <v>449</v>
      </c>
      <c r="B3052" t="s">
        <v>103</v>
      </c>
      <c r="C3052" s="2">
        <f>HYPERLINK("https://svao.dolgi.msk.ru/account/1761783091/", 1761783091)</f>
        <v>1761783091</v>
      </c>
      <c r="D3052">
        <v>7318.18</v>
      </c>
    </row>
    <row r="3053" spans="1:4" x14ac:dyDescent="0.25">
      <c r="A3053" t="s">
        <v>449</v>
      </c>
      <c r="B3053" t="s">
        <v>73</v>
      </c>
      <c r="C3053" s="2">
        <f>HYPERLINK("https://svao.dolgi.msk.ru/account/1761783104/", 1761783104)</f>
        <v>1761783104</v>
      </c>
      <c r="D3053">
        <v>6138.4</v>
      </c>
    </row>
    <row r="3054" spans="1:4" x14ac:dyDescent="0.25">
      <c r="A3054" t="s">
        <v>449</v>
      </c>
      <c r="B3054" t="s">
        <v>104</v>
      </c>
      <c r="C3054" s="2">
        <f>HYPERLINK("https://svao.dolgi.msk.ru/account/1761783112/", 1761783112)</f>
        <v>1761783112</v>
      </c>
      <c r="D3054">
        <v>8359.6</v>
      </c>
    </row>
    <row r="3055" spans="1:4" x14ac:dyDescent="0.25">
      <c r="A3055" t="s">
        <v>449</v>
      </c>
      <c r="B3055" t="s">
        <v>8</v>
      </c>
      <c r="C3055" s="2">
        <f>HYPERLINK("https://svao.dolgi.msk.ru/account/1761783147/", 1761783147)</f>
        <v>1761783147</v>
      </c>
      <c r="D3055">
        <v>7336.94</v>
      </c>
    </row>
    <row r="3056" spans="1:4" x14ac:dyDescent="0.25">
      <c r="A3056" t="s">
        <v>449</v>
      </c>
      <c r="B3056" t="s">
        <v>74</v>
      </c>
      <c r="C3056" s="2">
        <f>HYPERLINK("https://svao.dolgi.msk.ru/account/1761783163/", 1761783163)</f>
        <v>1761783163</v>
      </c>
      <c r="D3056">
        <v>5566.75</v>
      </c>
    </row>
    <row r="3057" spans="1:4" x14ac:dyDescent="0.25">
      <c r="A3057" t="s">
        <v>449</v>
      </c>
      <c r="B3057" t="s">
        <v>137</v>
      </c>
      <c r="C3057" s="2">
        <f>HYPERLINK("https://svao.dolgi.msk.ru/account/1761783198/", 1761783198)</f>
        <v>1761783198</v>
      </c>
      <c r="D3057">
        <v>8080.96</v>
      </c>
    </row>
    <row r="3058" spans="1:4" x14ac:dyDescent="0.25">
      <c r="A3058" t="s">
        <v>449</v>
      </c>
      <c r="B3058" t="s">
        <v>9</v>
      </c>
      <c r="C3058" s="2">
        <f>HYPERLINK("https://svao.dolgi.msk.ru/account/1761783227/", 1761783227)</f>
        <v>1761783227</v>
      </c>
      <c r="D3058">
        <v>11677.46</v>
      </c>
    </row>
    <row r="3059" spans="1:4" x14ac:dyDescent="0.25">
      <c r="A3059" t="s">
        <v>449</v>
      </c>
      <c r="B3059" t="s">
        <v>75</v>
      </c>
      <c r="C3059" s="2">
        <f>HYPERLINK("https://svao.dolgi.msk.ru/account/1761783235/", 1761783235)</f>
        <v>1761783235</v>
      </c>
      <c r="D3059">
        <v>5422.24</v>
      </c>
    </row>
    <row r="3060" spans="1:4" x14ac:dyDescent="0.25">
      <c r="A3060" t="s">
        <v>449</v>
      </c>
      <c r="B3060" t="s">
        <v>91</v>
      </c>
      <c r="C3060" s="2">
        <f>HYPERLINK("https://svao.dolgi.msk.ru/account/1761783251/", 1761783251)</f>
        <v>1761783251</v>
      </c>
      <c r="D3060">
        <v>4963.96</v>
      </c>
    </row>
    <row r="3061" spans="1:4" x14ac:dyDescent="0.25">
      <c r="A3061" t="s">
        <v>449</v>
      </c>
      <c r="B3061" t="s">
        <v>10</v>
      </c>
      <c r="C3061" s="2">
        <f>HYPERLINK("https://svao.dolgi.msk.ru/account/1761783278/", 1761783278)</f>
        <v>1761783278</v>
      </c>
      <c r="D3061">
        <v>2733.16</v>
      </c>
    </row>
    <row r="3062" spans="1:4" x14ac:dyDescent="0.25">
      <c r="A3062" t="s">
        <v>449</v>
      </c>
      <c r="B3062" t="s">
        <v>219</v>
      </c>
      <c r="C3062" s="2">
        <f>HYPERLINK("https://svao.dolgi.msk.ru/account/1761783294/", 1761783294)</f>
        <v>1761783294</v>
      </c>
      <c r="D3062">
        <v>7440.22</v>
      </c>
    </row>
    <row r="3063" spans="1:4" x14ac:dyDescent="0.25">
      <c r="A3063" t="s">
        <v>449</v>
      </c>
      <c r="B3063" t="s">
        <v>11</v>
      </c>
      <c r="C3063" s="2">
        <f>HYPERLINK("https://svao.dolgi.msk.ru/account/1761783307/", 1761783307)</f>
        <v>1761783307</v>
      </c>
      <c r="D3063">
        <v>9183.7800000000007</v>
      </c>
    </row>
    <row r="3064" spans="1:4" x14ac:dyDescent="0.25">
      <c r="A3064" t="s">
        <v>449</v>
      </c>
      <c r="B3064" t="s">
        <v>12</v>
      </c>
      <c r="C3064" s="2">
        <f>HYPERLINK("https://svao.dolgi.msk.ru/account/1761783323/", 1761783323)</f>
        <v>1761783323</v>
      </c>
      <c r="D3064">
        <v>4923.12</v>
      </c>
    </row>
    <row r="3065" spans="1:4" x14ac:dyDescent="0.25">
      <c r="A3065" t="s">
        <v>449</v>
      </c>
      <c r="B3065" t="s">
        <v>13</v>
      </c>
      <c r="C3065" s="2">
        <f>HYPERLINK("https://svao.dolgi.msk.ru/account/1761783358/", 1761783358)</f>
        <v>1761783358</v>
      </c>
      <c r="D3065">
        <v>2873.96</v>
      </c>
    </row>
    <row r="3066" spans="1:4" x14ac:dyDescent="0.25">
      <c r="A3066" t="s">
        <v>449</v>
      </c>
      <c r="B3066" t="s">
        <v>14</v>
      </c>
      <c r="C3066" s="2">
        <f>HYPERLINK("https://svao.dolgi.msk.ru/account/1761783374/", 1761783374)</f>
        <v>1761783374</v>
      </c>
      <c r="D3066">
        <v>7835.7</v>
      </c>
    </row>
    <row r="3067" spans="1:4" x14ac:dyDescent="0.25">
      <c r="A3067" t="s">
        <v>449</v>
      </c>
      <c r="B3067" t="s">
        <v>106</v>
      </c>
      <c r="C3067" s="2">
        <f>HYPERLINK("https://svao.dolgi.msk.ru/account/1761783403/", 1761783403)</f>
        <v>1761783403</v>
      </c>
      <c r="D3067">
        <v>10457.67</v>
      </c>
    </row>
    <row r="3068" spans="1:4" x14ac:dyDescent="0.25">
      <c r="A3068" t="s">
        <v>449</v>
      </c>
      <c r="B3068" t="s">
        <v>107</v>
      </c>
      <c r="C3068" s="2">
        <f>HYPERLINK("https://svao.dolgi.msk.ru/account/1761783438/", 1761783438)</f>
        <v>1761783438</v>
      </c>
      <c r="D3068">
        <v>3993.34</v>
      </c>
    </row>
    <row r="3069" spans="1:4" x14ac:dyDescent="0.25">
      <c r="A3069" t="s">
        <v>449</v>
      </c>
      <c r="B3069" t="s">
        <v>15</v>
      </c>
      <c r="C3069" s="2">
        <f>HYPERLINK("https://svao.dolgi.msk.ru/account/1761783446/", 1761783446)</f>
        <v>1761783446</v>
      </c>
      <c r="D3069">
        <v>7653.47</v>
      </c>
    </row>
    <row r="3070" spans="1:4" x14ac:dyDescent="0.25">
      <c r="A3070" t="s">
        <v>449</v>
      </c>
      <c r="B3070" t="s">
        <v>108</v>
      </c>
      <c r="C3070" s="2">
        <f>HYPERLINK("https://svao.dolgi.msk.ru/account/1761783454/", 1761783454)</f>
        <v>1761783454</v>
      </c>
      <c r="D3070">
        <v>5821.02</v>
      </c>
    </row>
    <row r="3071" spans="1:4" x14ac:dyDescent="0.25">
      <c r="A3071" t="s">
        <v>449</v>
      </c>
      <c r="B3071" t="s">
        <v>16</v>
      </c>
      <c r="C3071" s="2">
        <f>HYPERLINK("https://svao.dolgi.msk.ru/account/1761783489/", 1761783489)</f>
        <v>1761783489</v>
      </c>
      <c r="D3071">
        <v>7879.33</v>
      </c>
    </row>
    <row r="3072" spans="1:4" x14ac:dyDescent="0.25">
      <c r="A3072" t="s">
        <v>449</v>
      </c>
      <c r="B3072" t="s">
        <v>18</v>
      </c>
      <c r="C3072" s="2">
        <f>HYPERLINK("https://svao.dolgi.msk.ru/account/1761783497/", 1761783497)</f>
        <v>1761783497</v>
      </c>
      <c r="D3072">
        <v>6583.57</v>
      </c>
    </row>
    <row r="3073" spans="1:4" x14ac:dyDescent="0.25">
      <c r="A3073" t="s">
        <v>449</v>
      </c>
      <c r="B3073" t="s">
        <v>19</v>
      </c>
      <c r="C3073" s="2">
        <f>HYPERLINK("https://svao.dolgi.msk.ru/account/1761783518/", 1761783518)</f>
        <v>1761783518</v>
      </c>
      <c r="D3073">
        <v>5980.13</v>
      </c>
    </row>
    <row r="3074" spans="1:4" x14ac:dyDescent="0.25">
      <c r="A3074" t="s">
        <v>449</v>
      </c>
      <c r="B3074" t="s">
        <v>109</v>
      </c>
      <c r="C3074" s="2">
        <f>HYPERLINK("https://svao.dolgi.msk.ru/account/1761783534/", 1761783534)</f>
        <v>1761783534</v>
      </c>
      <c r="D3074">
        <v>6869.69</v>
      </c>
    </row>
    <row r="3075" spans="1:4" x14ac:dyDescent="0.25">
      <c r="A3075" t="s">
        <v>449</v>
      </c>
      <c r="B3075" t="s">
        <v>20</v>
      </c>
      <c r="C3075" s="2">
        <f>HYPERLINK("https://svao.dolgi.msk.ru/account/1761783569/", 1761783569)</f>
        <v>1761783569</v>
      </c>
      <c r="D3075">
        <v>6941.25</v>
      </c>
    </row>
    <row r="3076" spans="1:4" x14ac:dyDescent="0.25">
      <c r="A3076" t="s">
        <v>449</v>
      </c>
      <c r="B3076" t="s">
        <v>76</v>
      </c>
      <c r="C3076" s="2">
        <f>HYPERLINK("https://svao.dolgi.msk.ru/account/1761783585/", 1761783585)</f>
        <v>1761783585</v>
      </c>
      <c r="D3076">
        <v>3274.85</v>
      </c>
    </row>
    <row r="3077" spans="1:4" x14ac:dyDescent="0.25">
      <c r="A3077" t="s">
        <v>449</v>
      </c>
      <c r="B3077" t="s">
        <v>92</v>
      </c>
      <c r="C3077" s="2">
        <f>HYPERLINK("https://svao.dolgi.msk.ru/account/1761783606/", 1761783606)</f>
        <v>1761783606</v>
      </c>
      <c r="D3077">
        <v>6289.38</v>
      </c>
    </row>
    <row r="3078" spans="1:4" x14ac:dyDescent="0.25">
      <c r="A3078" t="s">
        <v>449</v>
      </c>
      <c r="B3078" t="s">
        <v>93</v>
      </c>
      <c r="C3078" s="2">
        <f>HYPERLINK("https://svao.dolgi.msk.ru/account/1761783622/", 1761783622)</f>
        <v>1761783622</v>
      </c>
      <c r="D3078">
        <v>6476.81</v>
      </c>
    </row>
    <row r="3079" spans="1:4" x14ac:dyDescent="0.25">
      <c r="A3079" t="s">
        <v>449</v>
      </c>
      <c r="B3079" t="s">
        <v>111</v>
      </c>
      <c r="C3079" s="2">
        <f>HYPERLINK("https://svao.dolgi.msk.ru/account/1761783657/", 1761783657)</f>
        <v>1761783657</v>
      </c>
      <c r="D3079">
        <v>3684.03</v>
      </c>
    </row>
    <row r="3080" spans="1:4" x14ac:dyDescent="0.25">
      <c r="A3080" t="s">
        <v>449</v>
      </c>
      <c r="B3080" t="s">
        <v>94</v>
      </c>
      <c r="C3080" s="2">
        <f>HYPERLINK("https://svao.dolgi.msk.ru/account/1761783673/", 1761783673)</f>
        <v>1761783673</v>
      </c>
      <c r="D3080">
        <v>5292.87</v>
      </c>
    </row>
    <row r="3081" spans="1:4" x14ac:dyDescent="0.25">
      <c r="A3081" t="s">
        <v>449</v>
      </c>
      <c r="B3081" t="s">
        <v>112</v>
      </c>
      <c r="C3081" s="2">
        <f>HYPERLINK("https://svao.dolgi.msk.ru/account/1761783681/", 1761783681)</f>
        <v>1761783681</v>
      </c>
      <c r="D3081">
        <v>6174.84</v>
      </c>
    </row>
    <row r="3082" spans="1:4" x14ac:dyDescent="0.25">
      <c r="A3082" t="s">
        <v>449</v>
      </c>
      <c r="B3082" t="s">
        <v>113</v>
      </c>
      <c r="C3082" s="2">
        <f>HYPERLINK("https://svao.dolgi.msk.ru/account/1761783702/", 1761783702)</f>
        <v>1761783702</v>
      </c>
      <c r="D3082">
        <v>7231.75</v>
      </c>
    </row>
    <row r="3083" spans="1:4" x14ac:dyDescent="0.25">
      <c r="A3083" t="s">
        <v>449</v>
      </c>
      <c r="B3083" t="s">
        <v>21</v>
      </c>
      <c r="C3083" s="2">
        <f>HYPERLINK("https://svao.dolgi.msk.ru/account/1761782945/", 1761782945)</f>
        <v>1761782945</v>
      </c>
      <c r="D3083">
        <v>7643.05</v>
      </c>
    </row>
    <row r="3084" spans="1:4" x14ac:dyDescent="0.25">
      <c r="A3084" t="s">
        <v>449</v>
      </c>
      <c r="B3084" t="s">
        <v>77</v>
      </c>
      <c r="C3084" s="2">
        <f>HYPERLINK("https://svao.dolgi.msk.ru/account/1761782953/", 1761782953)</f>
        <v>1761782953</v>
      </c>
      <c r="D3084">
        <v>5222.29</v>
      </c>
    </row>
    <row r="3085" spans="1:4" x14ac:dyDescent="0.25">
      <c r="A3085" t="s">
        <v>449</v>
      </c>
      <c r="B3085" t="s">
        <v>114</v>
      </c>
      <c r="C3085" s="2">
        <f>HYPERLINK("https://svao.dolgi.msk.ru/account/1761782961/", 1761782961)</f>
        <v>1761782961</v>
      </c>
      <c r="D3085">
        <v>6143.6</v>
      </c>
    </row>
    <row r="3086" spans="1:4" x14ac:dyDescent="0.25">
      <c r="A3086" t="s">
        <v>449</v>
      </c>
      <c r="B3086" t="s">
        <v>78</v>
      </c>
      <c r="C3086" s="2">
        <f>HYPERLINK("https://svao.dolgi.msk.ru/account/1761782988/", 1761782988)</f>
        <v>1761782988</v>
      </c>
      <c r="D3086">
        <v>5423.56</v>
      </c>
    </row>
    <row r="3087" spans="1:4" x14ac:dyDescent="0.25">
      <c r="A3087" t="s">
        <v>449</v>
      </c>
      <c r="B3087" t="s">
        <v>22</v>
      </c>
      <c r="C3087" s="2">
        <f>HYPERLINK("https://svao.dolgi.msk.ru/account/1761782996/", 1761782996)</f>
        <v>1761782996</v>
      </c>
      <c r="D3087">
        <v>4850.53</v>
      </c>
    </row>
    <row r="3088" spans="1:4" x14ac:dyDescent="0.25">
      <c r="A3088" t="s">
        <v>449</v>
      </c>
      <c r="B3088" t="s">
        <v>79</v>
      </c>
      <c r="C3088" s="2">
        <f>HYPERLINK("https://svao.dolgi.msk.ru/account/1761783008/", 1761783008)</f>
        <v>1761783008</v>
      </c>
      <c r="D3088">
        <v>5844.76</v>
      </c>
    </row>
    <row r="3089" spans="1:4" x14ac:dyDescent="0.25">
      <c r="A3089" t="s">
        <v>449</v>
      </c>
      <c r="B3089" t="s">
        <v>23</v>
      </c>
      <c r="C3089" s="2">
        <f>HYPERLINK("https://svao.dolgi.msk.ru/account/1761783016/", 1761783016)</f>
        <v>1761783016</v>
      </c>
      <c r="D3089">
        <v>5834.49</v>
      </c>
    </row>
    <row r="3090" spans="1:4" x14ac:dyDescent="0.25">
      <c r="A3090" t="s">
        <v>449</v>
      </c>
      <c r="B3090" t="s">
        <v>124</v>
      </c>
      <c r="C3090" s="2">
        <f>HYPERLINK("https://svao.dolgi.msk.ru/account/1761783024/", 1761783024)</f>
        <v>1761783024</v>
      </c>
      <c r="D3090">
        <v>3294.18</v>
      </c>
    </row>
    <row r="3091" spans="1:4" x14ac:dyDescent="0.25">
      <c r="A3091" t="s">
        <v>449</v>
      </c>
      <c r="B3091" t="s">
        <v>117</v>
      </c>
      <c r="C3091" s="2">
        <f>HYPERLINK("https://svao.dolgi.msk.ru/account/1761783059/", 1761783059)</f>
        <v>1761783059</v>
      </c>
      <c r="D3091">
        <v>3997.48</v>
      </c>
    </row>
    <row r="3092" spans="1:4" x14ac:dyDescent="0.25">
      <c r="A3092" t="s">
        <v>449</v>
      </c>
      <c r="B3092" t="s">
        <v>115</v>
      </c>
      <c r="C3092" s="2">
        <f>HYPERLINK("https://svao.dolgi.msk.ru/account/1761783067/", 1761783067)</f>
        <v>1761783067</v>
      </c>
      <c r="D3092">
        <v>5956.17</v>
      </c>
    </row>
    <row r="3093" spans="1:4" x14ac:dyDescent="0.25">
      <c r="A3093" t="s">
        <v>449</v>
      </c>
      <c r="B3093" t="s">
        <v>320</v>
      </c>
      <c r="C3093" s="2">
        <f>HYPERLINK("https://svao.dolgi.msk.ru/account/1761783075/", 1761783075)</f>
        <v>1761783075</v>
      </c>
      <c r="D3093">
        <v>5992.49</v>
      </c>
    </row>
    <row r="3094" spans="1:4" x14ac:dyDescent="0.25">
      <c r="A3094" t="s">
        <v>449</v>
      </c>
      <c r="B3094" t="s">
        <v>24</v>
      </c>
      <c r="C3094" s="2">
        <f>HYPERLINK("https://svao.dolgi.msk.ru/account/1761783139/", 1761783139)</f>
        <v>1761783139</v>
      </c>
      <c r="D3094">
        <v>3644.21</v>
      </c>
    </row>
    <row r="3095" spans="1:4" x14ac:dyDescent="0.25">
      <c r="A3095" t="s">
        <v>449</v>
      </c>
      <c r="B3095" t="s">
        <v>314</v>
      </c>
      <c r="C3095" s="2">
        <f>HYPERLINK("https://svao.dolgi.msk.ru/account/1761783155/", 1761783155)</f>
        <v>1761783155</v>
      </c>
      <c r="D3095">
        <v>5253.52</v>
      </c>
    </row>
    <row r="3096" spans="1:4" x14ac:dyDescent="0.25">
      <c r="A3096" t="s">
        <v>449</v>
      </c>
      <c r="B3096" t="s">
        <v>242</v>
      </c>
      <c r="C3096" s="2">
        <f>HYPERLINK("https://svao.dolgi.msk.ru/account/1761783171/", 1761783171)</f>
        <v>1761783171</v>
      </c>
      <c r="D3096">
        <v>6180.04</v>
      </c>
    </row>
    <row r="3097" spans="1:4" x14ac:dyDescent="0.25">
      <c r="A3097" t="s">
        <v>449</v>
      </c>
      <c r="B3097" t="s">
        <v>95</v>
      </c>
      <c r="C3097" s="2">
        <f>HYPERLINK("https://svao.dolgi.msk.ru/account/1761783219/", 1761783219)</f>
        <v>1761783219</v>
      </c>
      <c r="D3097">
        <v>4378.04</v>
      </c>
    </row>
    <row r="3098" spans="1:4" x14ac:dyDescent="0.25">
      <c r="A3098" t="s">
        <v>449</v>
      </c>
      <c r="B3098" t="s">
        <v>131</v>
      </c>
      <c r="C3098" s="2">
        <f>HYPERLINK("https://svao.dolgi.msk.ru/account/1761783243/", 1761783243)</f>
        <v>1761783243</v>
      </c>
      <c r="D3098">
        <v>3171.67</v>
      </c>
    </row>
    <row r="3099" spans="1:4" x14ac:dyDescent="0.25">
      <c r="A3099" t="s">
        <v>449</v>
      </c>
      <c r="B3099" t="s">
        <v>125</v>
      </c>
      <c r="C3099" s="2">
        <f>HYPERLINK("https://svao.dolgi.msk.ru/account/1761783286/", 1761783286)</f>
        <v>1761783286</v>
      </c>
      <c r="D3099">
        <v>5648.99</v>
      </c>
    </row>
    <row r="3100" spans="1:4" x14ac:dyDescent="0.25">
      <c r="A3100" t="s">
        <v>449</v>
      </c>
      <c r="B3100" t="s">
        <v>126</v>
      </c>
      <c r="C3100" s="2">
        <f>HYPERLINK("https://svao.dolgi.msk.ru/account/1761783315/", 1761783315)</f>
        <v>1761783315</v>
      </c>
      <c r="D3100">
        <v>5623.18</v>
      </c>
    </row>
    <row r="3101" spans="1:4" x14ac:dyDescent="0.25">
      <c r="A3101" t="s">
        <v>449</v>
      </c>
      <c r="B3101" t="s">
        <v>80</v>
      </c>
      <c r="C3101" s="2">
        <f>HYPERLINK("https://svao.dolgi.msk.ru/account/1761783331/", 1761783331)</f>
        <v>1761783331</v>
      </c>
      <c r="D3101">
        <v>5676.33</v>
      </c>
    </row>
    <row r="3102" spans="1:4" x14ac:dyDescent="0.25">
      <c r="A3102" t="s">
        <v>449</v>
      </c>
      <c r="B3102" t="s">
        <v>118</v>
      </c>
      <c r="C3102" s="2">
        <f>HYPERLINK("https://svao.dolgi.msk.ru/account/1761783366/", 1761783366)</f>
        <v>1761783366</v>
      </c>
      <c r="D3102">
        <v>3590.37</v>
      </c>
    </row>
    <row r="3103" spans="1:4" x14ac:dyDescent="0.25">
      <c r="A3103" t="s">
        <v>449</v>
      </c>
      <c r="B3103" t="s">
        <v>127</v>
      </c>
      <c r="C3103" s="2">
        <f>HYPERLINK("https://svao.dolgi.msk.ru/account/1761783382/", 1761783382)</f>
        <v>1761783382</v>
      </c>
      <c r="D3103">
        <v>5721.88</v>
      </c>
    </row>
    <row r="3104" spans="1:4" x14ac:dyDescent="0.25">
      <c r="A3104" t="s">
        <v>449</v>
      </c>
      <c r="B3104" t="s">
        <v>81</v>
      </c>
      <c r="C3104" s="2">
        <f>HYPERLINK("https://svao.dolgi.msk.ru/account/1761783411/", 1761783411)</f>
        <v>1761783411</v>
      </c>
      <c r="D3104">
        <v>6190.46</v>
      </c>
    </row>
    <row r="3105" spans="1:4" x14ac:dyDescent="0.25">
      <c r="A3105" t="s">
        <v>449</v>
      </c>
      <c r="B3105" t="s">
        <v>119</v>
      </c>
      <c r="C3105" s="2">
        <f>HYPERLINK("https://svao.dolgi.msk.ru/account/1761783462/", 1761783462)</f>
        <v>1761783462</v>
      </c>
      <c r="D3105">
        <v>4045.44</v>
      </c>
    </row>
    <row r="3106" spans="1:4" x14ac:dyDescent="0.25">
      <c r="A3106" t="s">
        <v>449</v>
      </c>
      <c r="B3106" t="s">
        <v>120</v>
      </c>
      <c r="C3106" s="2">
        <f>HYPERLINK("https://svao.dolgi.msk.ru/account/1761783526/", 1761783526)</f>
        <v>1761783526</v>
      </c>
      <c r="D3106">
        <v>3816.32</v>
      </c>
    </row>
    <row r="3107" spans="1:4" x14ac:dyDescent="0.25">
      <c r="A3107" t="s">
        <v>449</v>
      </c>
      <c r="B3107" t="s">
        <v>82</v>
      </c>
      <c r="C3107" s="2">
        <f>HYPERLINK("https://svao.dolgi.msk.ru/account/1761783542/", 1761783542)</f>
        <v>1761783542</v>
      </c>
      <c r="D3107">
        <v>5596.93</v>
      </c>
    </row>
    <row r="3108" spans="1:4" x14ac:dyDescent="0.25">
      <c r="A3108" t="s">
        <v>449</v>
      </c>
      <c r="B3108" t="s">
        <v>128</v>
      </c>
      <c r="C3108" s="2">
        <f>HYPERLINK("https://svao.dolgi.msk.ru/account/1761783577/", 1761783577)</f>
        <v>1761783577</v>
      </c>
      <c r="D3108">
        <v>5841.85</v>
      </c>
    </row>
    <row r="3109" spans="1:4" x14ac:dyDescent="0.25">
      <c r="A3109" t="s">
        <v>449</v>
      </c>
      <c r="B3109" t="s">
        <v>25</v>
      </c>
      <c r="C3109" s="2">
        <f>HYPERLINK("https://svao.dolgi.msk.ru/account/1761783593/", 1761783593)</f>
        <v>1761783593</v>
      </c>
      <c r="D3109">
        <v>6102.17</v>
      </c>
    </row>
    <row r="3110" spans="1:4" x14ac:dyDescent="0.25">
      <c r="A3110" t="s">
        <v>449</v>
      </c>
      <c r="B3110" t="s">
        <v>83</v>
      </c>
      <c r="C3110" s="2">
        <f>HYPERLINK("https://svao.dolgi.msk.ru/account/1761783614/", 1761783614)</f>
        <v>1761783614</v>
      </c>
      <c r="D3110">
        <v>2522.81</v>
      </c>
    </row>
    <row r="3111" spans="1:4" x14ac:dyDescent="0.25">
      <c r="A3111" t="s">
        <v>449</v>
      </c>
      <c r="B3111" t="s">
        <v>132</v>
      </c>
      <c r="C3111" s="2">
        <f>HYPERLINK("https://svao.dolgi.msk.ru/account/1761783649/", 1761783649)</f>
        <v>1761783649</v>
      </c>
      <c r="D3111">
        <v>4393.3500000000004</v>
      </c>
    </row>
    <row r="3112" spans="1:4" x14ac:dyDescent="0.25">
      <c r="A3112" t="s">
        <v>449</v>
      </c>
      <c r="B3112" t="s">
        <v>26</v>
      </c>
      <c r="C3112" s="2">
        <f>HYPERLINK("https://svao.dolgi.msk.ru/account/1761783665/", 1761783665)</f>
        <v>1761783665</v>
      </c>
      <c r="D3112">
        <v>4614.58</v>
      </c>
    </row>
    <row r="3113" spans="1:4" x14ac:dyDescent="0.25">
      <c r="A3113" t="s">
        <v>449</v>
      </c>
      <c r="B3113" t="s">
        <v>133</v>
      </c>
      <c r="C3113" s="2">
        <f>HYPERLINK("https://svao.dolgi.msk.ru/account/1761783729/", 1761783729)</f>
        <v>1761783729</v>
      </c>
      <c r="D3113">
        <v>4224.3500000000004</v>
      </c>
    </row>
    <row r="3114" spans="1:4" x14ac:dyDescent="0.25">
      <c r="A3114" t="s">
        <v>449</v>
      </c>
      <c r="B3114" t="s">
        <v>96</v>
      </c>
      <c r="C3114" s="2">
        <f>HYPERLINK("https://svao.dolgi.msk.ru/account/1761783737/", 1761783737)</f>
        <v>1761783737</v>
      </c>
      <c r="D3114">
        <v>6401.73</v>
      </c>
    </row>
    <row r="3115" spans="1:4" x14ac:dyDescent="0.25">
      <c r="A3115" t="s">
        <v>449</v>
      </c>
      <c r="B3115" t="s">
        <v>27</v>
      </c>
      <c r="C3115" s="2">
        <f>HYPERLINK("https://svao.dolgi.msk.ru/account/1760253494/", 1760253494)</f>
        <v>1760253494</v>
      </c>
      <c r="D3115">
        <v>497.25</v>
      </c>
    </row>
    <row r="3116" spans="1:4" x14ac:dyDescent="0.25">
      <c r="A3116" t="s">
        <v>449</v>
      </c>
      <c r="B3116" t="s">
        <v>27</v>
      </c>
      <c r="C3116" s="2">
        <f>HYPERLINK("https://svao.dolgi.msk.ru/account/1761783745/", 1761783745)</f>
        <v>1761783745</v>
      </c>
      <c r="D3116">
        <v>4684.91</v>
      </c>
    </row>
    <row r="3117" spans="1:4" x14ac:dyDescent="0.25">
      <c r="A3117" t="s">
        <v>449</v>
      </c>
      <c r="B3117" t="s">
        <v>290</v>
      </c>
      <c r="C3117" s="2">
        <f>HYPERLINK("https://svao.dolgi.msk.ru/account/1761783753/", 1761783753)</f>
        <v>1761783753</v>
      </c>
      <c r="D3117">
        <v>3965.72</v>
      </c>
    </row>
    <row r="3118" spans="1:4" x14ac:dyDescent="0.25">
      <c r="A3118" t="s">
        <v>449</v>
      </c>
      <c r="B3118" t="s">
        <v>243</v>
      </c>
      <c r="C3118" s="2">
        <f>HYPERLINK("https://svao.dolgi.msk.ru/account/1761783761/", 1761783761)</f>
        <v>1761783761</v>
      </c>
      <c r="D3118">
        <v>2311.66</v>
      </c>
    </row>
    <row r="3119" spans="1:4" x14ac:dyDescent="0.25">
      <c r="A3119" t="s">
        <v>449</v>
      </c>
      <c r="B3119" t="s">
        <v>121</v>
      </c>
      <c r="C3119" s="2">
        <f>HYPERLINK("https://svao.dolgi.msk.ru/account/1761783788/", 1761783788)</f>
        <v>1761783788</v>
      </c>
      <c r="D3119">
        <v>12967.17</v>
      </c>
    </row>
    <row r="3120" spans="1:4" x14ac:dyDescent="0.25">
      <c r="A3120" t="s">
        <v>450</v>
      </c>
      <c r="B3120" t="s">
        <v>7</v>
      </c>
      <c r="C3120" s="2">
        <f>HYPERLINK("https://svao.dolgi.msk.ru/account/1760055754/", 1760055754)</f>
        <v>1760055754</v>
      </c>
      <c r="D3120">
        <v>3385.88</v>
      </c>
    </row>
    <row r="3121" spans="1:4" x14ac:dyDescent="0.25">
      <c r="A3121" t="s">
        <v>450</v>
      </c>
      <c r="B3121" t="s">
        <v>102</v>
      </c>
      <c r="C3121" s="2">
        <f>HYPERLINK("https://svao.dolgi.msk.ru/account/1760055797/", 1760055797)</f>
        <v>1760055797</v>
      </c>
      <c r="D3121">
        <v>4139.3500000000004</v>
      </c>
    </row>
    <row r="3122" spans="1:4" x14ac:dyDescent="0.25">
      <c r="A3122" t="s">
        <v>450</v>
      </c>
      <c r="B3122" t="s">
        <v>73</v>
      </c>
      <c r="C3122" s="2">
        <f>HYPERLINK("https://svao.dolgi.msk.ru/account/1760055826/", 1760055826)</f>
        <v>1760055826</v>
      </c>
      <c r="D3122">
        <v>8839.5</v>
      </c>
    </row>
    <row r="3123" spans="1:4" x14ac:dyDescent="0.25">
      <c r="A3123" t="s">
        <v>450</v>
      </c>
      <c r="B3123" t="s">
        <v>104</v>
      </c>
      <c r="C3123" s="2">
        <f>HYPERLINK("https://svao.dolgi.msk.ru/account/1760055834/", 1760055834)</f>
        <v>1760055834</v>
      </c>
      <c r="D3123">
        <v>631.44000000000005</v>
      </c>
    </row>
    <row r="3124" spans="1:4" x14ac:dyDescent="0.25">
      <c r="A3124" t="s">
        <v>450</v>
      </c>
      <c r="B3124" t="s">
        <v>137</v>
      </c>
      <c r="C3124" s="2">
        <f>HYPERLINK("https://svao.dolgi.msk.ru/account/1760055877/", 1760055877)</f>
        <v>1760055877</v>
      </c>
      <c r="D3124">
        <v>6794.36</v>
      </c>
    </row>
    <row r="3125" spans="1:4" x14ac:dyDescent="0.25">
      <c r="A3125" t="s">
        <v>450</v>
      </c>
      <c r="B3125" t="s">
        <v>91</v>
      </c>
      <c r="C3125" s="2">
        <f>HYPERLINK("https://svao.dolgi.msk.ru/account/1760055906/", 1760055906)</f>
        <v>1760055906</v>
      </c>
      <c r="D3125">
        <v>4315.82</v>
      </c>
    </row>
    <row r="3126" spans="1:4" x14ac:dyDescent="0.25">
      <c r="A3126" t="s">
        <v>450</v>
      </c>
      <c r="B3126" t="s">
        <v>12</v>
      </c>
      <c r="C3126" s="2">
        <f>HYPERLINK("https://svao.dolgi.msk.ru/account/1760055957/", 1760055957)</f>
        <v>1760055957</v>
      </c>
      <c r="D3126">
        <v>2714.51</v>
      </c>
    </row>
    <row r="3127" spans="1:4" x14ac:dyDescent="0.25">
      <c r="A3127" t="s">
        <v>450</v>
      </c>
      <c r="B3127" t="s">
        <v>18</v>
      </c>
      <c r="C3127" s="2">
        <f>HYPERLINK("https://svao.dolgi.msk.ru/account/1760056079/", 1760056079)</f>
        <v>1760056079</v>
      </c>
      <c r="D3127">
        <v>31721.15</v>
      </c>
    </row>
    <row r="3128" spans="1:4" x14ac:dyDescent="0.25">
      <c r="A3128" t="s">
        <v>450</v>
      </c>
      <c r="B3128" t="s">
        <v>22</v>
      </c>
      <c r="C3128" s="2">
        <f>HYPERLINK("https://svao.dolgi.msk.ru/account/1760056255/", 1760056255)</f>
        <v>1760056255</v>
      </c>
      <c r="D3128">
        <v>6677.05</v>
      </c>
    </row>
    <row r="3129" spans="1:4" x14ac:dyDescent="0.25">
      <c r="A3129" t="s">
        <v>450</v>
      </c>
      <c r="B3129" t="s">
        <v>124</v>
      </c>
      <c r="C3129" s="2">
        <f>HYPERLINK("https://svao.dolgi.msk.ru/account/1760056298/", 1760056298)</f>
        <v>1760056298</v>
      </c>
      <c r="D3129">
        <v>4290.8</v>
      </c>
    </row>
    <row r="3130" spans="1:4" x14ac:dyDescent="0.25">
      <c r="A3130" t="s">
        <v>450</v>
      </c>
      <c r="B3130" t="s">
        <v>320</v>
      </c>
      <c r="C3130" s="2">
        <f>HYPERLINK("https://svao.dolgi.msk.ru/account/1760056335/", 1760056335)</f>
        <v>1760056335</v>
      </c>
      <c r="D3130">
        <v>5144.8599999999997</v>
      </c>
    </row>
    <row r="3131" spans="1:4" x14ac:dyDescent="0.25">
      <c r="A3131" t="s">
        <v>450</v>
      </c>
      <c r="B3131" t="s">
        <v>242</v>
      </c>
      <c r="C3131" s="2">
        <f>HYPERLINK("https://svao.dolgi.msk.ru/account/1760056378/", 1760056378)</f>
        <v>1760056378</v>
      </c>
      <c r="D3131">
        <v>4441.4799999999996</v>
      </c>
    </row>
    <row r="3132" spans="1:4" x14ac:dyDescent="0.25">
      <c r="A3132" t="s">
        <v>450</v>
      </c>
      <c r="B3132" t="s">
        <v>131</v>
      </c>
      <c r="C3132" s="2">
        <f>HYPERLINK("https://svao.dolgi.msk.ru/account/1760056394/", 1760056394)</f>
        <v>1760056394</v>
      </c>
      <c r="D3132">
        <v>6866.51</v>
      </c>
    </row>
    <row r="3133" spans="1:4" x14ac:dyDescent="0.25">
      <c r="A3133" t="s">
        <v>450</v>
      </c>
      <c r="B3133" t="s">
        <v>125</v>
      </c>
      <c r="C3133" s="2">
        <f>HYPERLINK("https://svao.dolgi.msk.ru/account/1760056407/", 1760056407)</f>
        <v>1760056407</v>
      </c>
      <c r="D3133">
        <v>5598.47</v>
      </c>
    </row>
    <row r="3134" spans="1:4" x14ac:dyDescent="0.25">
      <c r="A3134" t="s">
        <v>450</v>
      </c>
      <c r="B3134" t="s">
        <v>119</v>
      </c>
      <c r="C3134" s="2">
        <f>HYPERLINK("https://svao.dolgi.msk.ru/account/1760056474/", 1760056474)</f>
        <v>1760056474</v>
      </c>
      <c r="D3134">
        <v>3313.66</v>
      </c>
    </row>
    <row r="3135" spans="1:4" x14ac:dyDescent="0.25">
      <c r="A3135" t="s">
        <v>450</v>
      </c>
      <c r="B3135" t="s">
        <v>82</v>
      </c>
      <c r="C3135" s="2">
        <f>HYPERLINK("https://svao.dolgi.msk.ru/account/1760056503/", 1760056503)</f>
        <v>1760056503</v>
      </c>
      <c r="D3135">
        <v>5198.82</v>
      </c>
    </row>
    <row r="3136" spans="1:4" x14ac:dyDescent="0.25">
      <c r="A3136" t="s">
        <v>450</v>
      </c>
      <c r="B3136" t="s">
        <v>26</v>
      </c>
      <c r="C3136" s="2">
        <f>HYPERLINK("https://svao.dolgi.msk.ru/account/1760056554/", 1760056554)</f>
        <v>1760056554</v>
      </c>
      <c r="D3136">
        <v>3015.25</v>
      </c>
    </row>
    <row r="3137" spans="1:4" x14ac:dyDescent="0.25">
      <c r="A3137" t="s">
        <v>450</v>
      </c>
      <c r="B3137" t="s">
        <v>27</v>
      </c>
      <c r="C3137" s="2">
        <f>HYPERLINK("https://svao.dolgi.msk.ru/account/1760056597/", 1760056597)</f>
        <v>1760056597</v>
      </c>
      <c r="D3137">
        <v>3640.54</v>
      </c>
    </row>
    <row r="3138" spans="1:4" x14ac:dyDescent="0.25">
      <c r="A3138" t="s">
        <v>450</v>
      </c>
      <c r="B3138" t="s">
        <v>121</v>
      </c>
      <c r="C3138" s="2">
        <f>HYPERLINK("https://svao.dolgi.msk.ru/account/1760056634/", 1760056634)</f>
        <v>1760056634</v>
      </c>
      <c r="D3138">
        <v>4220.1000000000004</v>
      </c>
    </row>
    <row r="3139" spans="1:4" x14ac:dyDescent="0.25">
      <c r="A3139" t="s">
        <v>450</v>
      </c>
      <c r="B3139" t="s">
        <v>29</v>
      </c>
      <c r="C3139" s="2">
        <f>HYPERLINK("https://svao.dolgi.msk.ru/account/1760056685/", 1760056685)</f>
        <v>1760056685</v>
      </c>
      <c r="D3139">
        <v>25584.06</v>
      </c>
    </row>
    <row r="3140" spans="1:4" x14ac:dyDescent="0.25">
      <c r="A3140" t="s">
        <v>450</v>
      </c>
      <c r="B3140" t="s">
        <v>244</v>
      </c>
      <c r="C3140" s="2">
        <f>HYPERLINK("https://svao.dolgi.msk.ru/account/1760056693/", 1760056693)</f>
        <v>1760056693</v>
      </c>
      <c r="D3140">
        <v>2290.7800000000002</v>
      </c>
    </row>
    <row r="3141" spans="1:4" x14ac:dyDescent="0.25">
      <c r="A3141" t="s">
        <v>450</v>
      </c>
      <c r="B3141" t="s">
        <v>31</v>
      </c>
      <c r="C3141" s="2">
        <f>HYPERLINK("https://svao.dolgi.msk.ru/account/1760056757/", 1760056757)</f>
        <v>1760056757</v>
      </c>
      <c r="D3141">
        <v>4436</v>
      </c>
    </row>
    <row r="3142" spans="1:4" x14ac:dyDescent="0.25">
      <c r="A3142" t="s">
        <v>450</v>
      </c>
      <c r="B3142" t="s">
        <v>291</v>
      </c>
      <c r="C3142" s="2">
        <f>HYPERLINK("https://svao.dolgi.msk.ru/account/1760056773/", 1760056773)</f>
        <v>1760056773</v>
      </c>
      <c r="D3142">
        <v>7081.56</v>
      </c>
    </row>
    <row r="3143" spans="1:4" x14ac:dyDescent="0.25">
      <c r="A3143" t="s">
        <v>450</v>
      </c>
      <c r="B3143" t="s">
        <v>32</v>
      </c>
      <c r="C3143" s="2">
        <f>HYPERLINK("https://svao.dolgi.msk.ru/account/1760056802/", 1760056802)</f>
        <v>1760056802</v>
      </c>
      <c r="D3143">
        <v>4439.6099999999997</v>
      </c>
    </row>
    <row r="3144" spans="1:4" x14ac:dyDescent="0.25">
      <c r="A3144" t="s">
        <v>450</v>
      </c>
      <c r="B3144" t="s">
        <v>35</v>
      </c>
      <c r="C3144" s="2">
        <f>HYPERLINK("https://svao.dolgi.msk.ru/account/1760056853/", 1760056853)</f>
        <v>1760056853</v>
      </c>
      <c r="D3144">
        <v>3230.13</v>
      </c>
    </row>
    <row r="3145" spans="1:4" x14ac:dyDescent="0.25">
      <c r="A3145" t="s">
        <v>451</v>
      </c>
      <c r="B3145" t="s">
        <v>6</v>
      </c>
      <c r="C3145" s="2">
        <f>HYPERLINK("https://svao.dolgi.msk.ru/account/1760109839/", 1760109839)</f>
        <v>1760109839</v>
      </c>
      <c r="D3145">
        <v>6462.72</v>
      </c>
    </row>
    <row r="3146" spans="1:4" x14ac:dyDescent="0.25">
      <c r="A3146" t="s">
        <v>451</v>
      </c>
      <c r="B3146" t="s">
        <v>41</v>
      </c>
      <c r="C3146" s="2">
        <f>HYPERLINK("https://svao.dolgi.msk.ru/account/1760109847/", 1760109847)</f>
        <v>1760109847</v>
      </c>
      <c r="D3146">
        <v>1571.32</v>
      </c>
    </row>
    <row r="3147" spans="1:4" x14ac:dyDescent="0.25">
      <c r="A3147" t="s">
        <v>451</v>
      </c>
      <c r="B3147" t="s">
        <v>5</v>
      </c>
      <c r="C3147" s="2">
        <f>HYPERLINK("https://svao.dolgi.msk.ru/account/1760109855/", 1760109855)</f>
        <v>1760109855</v>
      </c>
      <c r="D3147">
        <v>4025.3</v>
      </c>
    </row>
    <row r="3148" spans="1:4" x14ac:dyDescent="0.25">
      <c r="A3148" t="s">
        <v>451</v>
      </c>
      <c r="B3148" t="s">
        <v>101</v>
      </c>
      <c r="C3148" s="2">
        <f>HYPERLINK("https://svao.dolgi.msk.ru/account/1760109871/", 1760109871)</f>
        <v>1760109871</v>
      </c>
      <c r="D3148">
        <v>8689.4699999999993</v>
      </c>
    </row>
    <row r="3149" spans="1:4" x14ac:dyDescent="0.25">
      <c r="A3149" t="s">
        <v>451</v>
      </c>
      <c r="B3149" t="s">
        <v>103</v>
      </c>
      <c r="C3149" s="2">
        <f>HYPERLINK("https://svao.dolgi.msk.ru/account/1760109927/", 1760109927)</f>
        <v>1760109927</v>
      </c>
      <c r="D3149">
        <v>17923.43</v>
      </c>
    </row>
    <row r="3150" spans="1:4" x14ac:dyDescent="0.25">
      <c r="A3150" t="s">
        <v>451</v>
      </c>
      <c r="B3150" t="s">
        <v>73</v>
      </c>
      <c r="C3150" s="2">
        <f>HYPERLINK("https://svao.dolgi.msk.ru/account/1760109935/", 1760109935)</f>
        <v>1760109935</v>
      </c>
      <c r="D3150">
        <v>62232.39</v>
      </c>
    </row>
    <row r="3151" spans="1:4" x14ac:dyDescent="0.25">
      <c r="A3151" t="s">
        <v>451</v>
      </c>
      <c r="B3151" t="s">
        <v>104</v>
      </c>
      <c r="C3151" s="2">
        <f>HYPERLINK("https://svao.dolgi.msk.ru/account/1760109943/", 1760109943)</f>
        <v>1760109943</v>
      </c>
      <c r="D3151">
        <v>3445.95</v>
      </c>
    </row>
    <row r="3152" spans="1:4" x14ac:dyDescent="0.25">
      <c r="A3152" t="s">
        <v>451</v>
      </c>
      <c r="B3152" t="s">
        <v>11</v>
      </c>
      <c r="C3152" s="2">
        <f>HYPERLINK("https://svao.dolgi.msk.ru/account/1760110063/", 1760110063)</f>
        <v>1760110063</v>
      </c>
      <c r="D3152">
        <v>13402.64</v>
      </c>
    </row>
    <row r="3153" spans="1:4" x14ac:dyDescent="0.25">
      <c r="A3153" t="s">
        <v>451</v>
      </c>
      <c r="B3153" t="s">
        <v>12</v>
      </c>
      <c r="C3153" s="2">
        <f>HYPERLINK("https://svao.dolgi.msk.ru/account/1760110071/", 1760110071)</f>
        <v>1760110071</v>
      </c>
      <c r="D3153">
        <v>3937.82</v>
      </c>
    </row>
    <row r="3154" spans="1:4" x14ac:dyDescent="0.25">
      <c r="A3154" t="s">
        <v>451</v>
      </c>
      <c r="B3154" t="s">
        <v>13</v>
      </c>
      <c r="C3154" s="2">
        <f>HYPERLINK("https://svao.dolgi.msk.ru/account/1760110119/", 1760110119)</f>
        <v>1760110119</v>
      </c>
      <c r="D3154">
        <v>5123.3999999999996</v>
      </c>
    </row>
    <row r="3155" spans="1:4" x14ac:dyDescent="0.25">
      <c r="A3155" t="s">
        <v>451</v>
      </c>
      <c r="B3155" t="s">
        <v>14</v>
      </c>
      <c r="C3155" s="2">
        <f>HYPERLINK("https://svao.dolgi.msk.ru/account/1760110127/", 1760110127)</f>
        <v>1760110127</v>
      </c>
      <c r="D3155">
        <v>20216.580000000002</v>
      </c>
    </row>
    <row r="3156" spans="1:4" x14ac:dyDescent="0.25">
      <c r="A3156" t="s">
        <v>451</v>
      </c>
      <c r="B3156" t="s">
        <v>106</v>
      </c>
      <c r="C3156" s="2">
        <f>HYPERLINK("https://svao.dolgi.msk.ru/account/1760110135/", 1760110135)</f>
        <v>1760110135</v>
      </c>
      <c r="D3156">
        <v>3955.12</v>
      </c>
    </row>
    <row r="3157" spans="1:4" x14ac:dyDescent="0.25">
      <c r="A3157" t="s">
        <v>451</v>
      </c>
      <c r="B3157" t="s">
        <v>107</v>
      </c>
      <c r="C3157" s="2">
        <f>HYPERLINK("https://svao.dolgi.msk.ru/account/1760110143/", 1760110143)</f>
        <v>1760110143</v>
      </c>
      <c r="D3157">
        <v>8624.75</v>
      </c>
    </row>
    <row r="3158" spans="1:4" x14ac:dyDescent="0.25">
      <c r="A3158" t="s">
        <v>451</v>
      </c>
      <c r="B3158" t="s">
        <v>19</v>
      </c>
      <c r="C3158" s="2">
        <f>HYPERLINK("https://svao.dolgi.msk.ru/account/1760110231/", 1760110231)</f>
        <v>1760110231</v>
      </c>
      <c r="D3158">
        <v>17357.669999999998</v>
      </c>
    </row>
    <row r="3159" spans="1:4" x14ac:dyDescent="0.25">
      <c r="A3159" t="s">
        <v>451</v>
      </c>
      <c r="B3159" t="s">
        <v>109</v>
      </c>
      <c r="C3159" s="2">
        <f>HYPERLINK("https://svao.dolgi.msk.ru/account/1760110266/", 1760110266)</f>
        <v>1760110266</v>
      </c>
      <c r="D3159">
        <v>5355.36</v>
      </c>
    </row>
    <row r="3160" spans="1:4" x14ac:dyDescent="0.25">
      <c r="A3160" t="s">
        <v>451</v>
      </c>
      <c r="B3160" t="s">
        <v>93</v>
      </c>
      <c r="C3160" s="2">
        <f>HYPERLINK("https://svao.dolgi.msk.ru/account/1760110389/", 1760110389)</f>
        <v>1760110389</v>
      </c>
      <c r="D3160">
        <v>2312.65</v>
      </c>
    </row>
    <row r="3161" spans="1:4" x14ac:dyDescent="0.25">
      <c r="A3161" t="s">
        <v>451</v>
      </c>
      <c r="B3161" t="s">
        <v>93</v>
      </c>
      <c r="C3161" s="2">
        <f>HYPERLINK("https://svao.dolgi.msk.ru/account/1760111816/", 1760111816)</f>
        <v>1760111816</v>
      </c>
      <c r="D3161">
        <v>464131.77</v>
      </c>
    </row>
    <row r="3162" spans="1:4" x14ac:dyDescent="0.25">
      <c r="A3162" t="s">
        <v>451</v>
      </c>
      <c r="B3162" t="s">
        <v>112</v>
      </c>
      <c r="C3162" s="2">
        <f>HYPERLINK("https://svao.dolgi.msk.ru/account/1760110426/", 1760110426)</f>
        <v>1760110426</v>
      </c>
      <c r="D3162">
        <v>4439.99</v>
      </c>
    </row>
    <row r="3163" spans="1:4" x14ac:dyDescent="0.25">
      <c r="A3163" t="s">
        <v>451</v>
      </c>
      <c r="B3163" t="s">
        <v>114</v>
      </c>
      <c r="C3163" s="2">
        <f>HYPERLINK("https://svao.dolgi.msk.ru/account/1760110485/", 1760110485)</f>
        <v>1760110485</v>
      </c>
      <c r="D3163">
        <v>6621.05</v>
      </c>
    </row>
    <row r="3164" spans="1:4" x14ac:dyDescent="0.25">
      <c r="A3164" t="s">
        <v>451</v>
      </c>
      <c r="B3164" t="s">
        <v>78</v>
      </c>
      <c r="C3164" s="2">
        <f>HYPERLINK("https://svao.dolgi.msk.ru/account/1760110506/", 1760110506)</f>
        <v>1760110506</v>
      </c>
      <c r="D3164">
        <v>9172.57</v>
      </c>
    </row>
    <row r="3165" spans="1:4" x14ac:dyDescent="0.25">
      <c r="A3165" t="s">
        <v>451</v>
      </c>
      <c r="B3165" t="s">
        <v>79</v>
      </c>
      <c r="C3165" s="2">
        <f>HYPERLINK("https://svao.dolgi.msk.ru/account/1760110522/", 1760110522)</f>
        <v>1760110522</v>
      </c>
      <c r="D3165">
        <v>555.45000000000005</v>
      </c>
    </row>
    <row r="3166" spans="1:4" x14ac:dyDescent="0.25">
      <c r="A3166" t="s">
        <v>451</v>
      </c>
      <c r="B3166" t="s">
        <v>23</v>
      </c>
      <c r="C3166" s="2">
        <f>HYPERLINK("https://svao.dolgi.msk.ru/account/1760110549/", 1760110549)</f>
        <v>1760110549</v>
      </c>
      <c r="D3166">
        <v>16595.38</v>
      </c>
    </row>
    <row r="3167" spans="1:4" x14ac:dyDescent="0.25">
      <c r="A3167" t="s">
        <v>451</v>
      </c>
      <c r="B3167" t="s">
        <v>124</v>
      </c>
      <c r="C3167" s="2">
        <f>HYPERLINK("https://svao.dolgi.msk.ru/account/1760110557/", 1760110557)</f>
        <v>1760110557</v>
      </c>
      <c r="D3167">
        <v>9733.7800000000007</v>
      </c>
    </row>
    <row r="3168" spans="1:4" x14ac:dyDescent="0.25">
      <c r="A3168" t="s">
        <v>451</v>
      </c>
      <c r="B3168" t="s">
        <v>24</v>
      </c>
      <c r="C3168" s="2">
        <f>HYPERLINK("https://svao.dolgi.msk.ru/account/1760110602/", 1760110602)</f>
        <v>1760110602</v>
      </c>
      <c r="D3168">
        <v>125.44</v>
      </c>
    </row>
    <row r="3169" spans="1:4" x14ac:dyDescent="0.25">
      <c r="A3169" t="s">
        <v>451</v>
      </c>
      <c r="B3169" t="s">
        <v>95</v>
      </c>
      <c r="C3169" s="2">
        <f>HYPERLINK("https://svao.dolgi.msk.ru/account/1760110645/", 1760110645)</f>
        <v>1760110645</v>
      </c>
      <c r="D3169">
        <v>7890.35</v>
      </c>
    </row>
    <row r="3170" spans="1:4" x14ac:dyDescent="0.25">
      <c r="A3170" t="s">
        <v>451</v>
      </c>
      <c r="B3170" t="s">
        <v>131</v>
      </c>
      <c r="C3170" s="2">
        <f>HYPERLINK("https://svao.dolgi.msk.ru/account/1760110653/", 1760110653)</f>
        <v>1760110653</v>
      </c>
      <c r="D3170">
        <v>7959.77</v>
      </c>
    </row>
    <row r="3171" spans="1:4" x14ac:dyDescent="0.25">
      <c r="A3171" t="s">
        <v>451</v>
      </c>
      <c r="B3171" t="s">
        <v>81</v>
      </c>
      <c r="C3171" s="2">
        <f>HYPERLINK("https://svao.dolgi.msk.ru/account/1760110733/", 1760110733)</f>
        <v>1760110733</v>
      </c>
      <c r="D3171">
        <v>303.05</v>
      </c>
    </row>
    <row r="3172" spans="1:4" x14ac:dyDescent="0.25">
      <c r="A3172" t="s">
        <v>451</v>
      </c>
      <c r="B3172" t="s">
        <v>128</v>
      </c>
      <c r="C3172" s="2">
        <f>HYPERLINK("https://svao.dolgi.msk.ru/account/1760110776/", 1760110776)</f>
        <v>1760110776</v>
      </c>
      <c r="D3172">
        <v>3026.84</v>
      </c>
    </row>
    <row r="3173" spans="1:4" x14ac:dyDescent="0.25">
      <c r="A3173" t="s">
        <v>451</v>
      </c>
      <c r="B3173" t="s">
        <v>132</v>
      </c>
      <c r="C3173" s="2">
        <f>HYPERLINK("https://svao.dolgi.msk.ru/account/1760110821/", 1760110821)</f>
        <v>1760110821</v>
      </c>
      <c r="D3173">
        <v>2958.63</v>
      </c>
    </row>
    <row r="3174" spans="1:4" x14ac:dyDescent="0.25">
      <c r="A3174" t="s">
        <v>451</v>
      </c>
      <c r="B3174" t="s">
        <v>27</v>
      </c>
      <c r="C3174" s="2">
        <f>HYPERLINK("https://svao.dolgi.msk.ru/account/1760110928/", 1760110928)</f>
        <v>1760110928</v>
      </c>
      <c r="D3174">
        <v>7388.58</v>
      </c>
    </row>
    <row r="3175" spans="1:4" x14ac:dyDescent="0.25">
      <c r="A3175" t="s">
        <v>451</v>
      </c>
      <c r="B3175" t="s">
        <v>121</v>
      </c>
      <c r="C3175" s="2">
        <f>HYPERLINK("https://svao.dolgi.msk.ru/account/1760110952/", 1760110952)</f>
        <v>1760110952</v>
      </c>
      <c r="D3175">
        <v>3990.03</v>
      </c>
    </row>
    <row r="3176" spans="1:4" x14ac:dyDescent="0.25">
      <c r="A3176" t="s">
        <v>451</v>
      </c>
      <c r="B3176" t="s">
        <v>139</v>
      </c>
      <c r="C3176" s="2">
        <f>HYPERLINK("https://svao.dolgi.msk.ru/account/1760110987/", 1760110987)</f>
        <v>1760110987</v>
      </c>
      <c r="D3176">
        <v>6974</v>
      </c>
    </row>
    <row r="3177" spans="1:4" x14ac:dyDescent="0.25">
      <c r="A3177" t="s">
        <v>451</v>
      </c>
      <c r="B3177" t="s">
        <v>97</v>
      </c>
      <c r="C3177" s="2">
        <f>HYPERLINK("https://svao.dolgi.msk.ru/account/1760111082/", 1760111082)</f>
        <v>1760111082</v>
      </c>
      <c r="D3177">
        <v>7360.47</v>
      </c>
    </row>
    <row r="3178" spans="1:4" x14ac:dyDescent="0.25">
      <c r="A3178" t="s">
        <v>451</v>
      </c>
      <c r="B3178" t="s">
        <v>31</v>
      </c>
      <c r="C3178" s="2">
        <f>HYPERLINK("https://svao.dolgi.msk.ru/account/1760111146/", 1760111146)</f>
        <v>1760111146</v>
      </c>
      <c r="D3178">
        <v>7727.55</v>
      </c>
    </row>
    <row r="3179" spans="1:4" x14ac:dyDescent="0.25">
      <c r="A3179" t="s">
        <v>451</v>
      </c>
      <c r="B3179" t="s">
        <v>245</v>
      </c>
      <c r="C3179" s="2">
        <f>HYPERLINK("https://svao.dolgi.msk.ru/account/1760111189/", 1760111189)</f>
        <v>1760111189</v>
      </c>
      <c r="D3179">
        <v>12907.62</v>
      </c>
    </row>
    <row r="3180" spans="1:4" x14ac:dyDescent="0.25">
      <c r="A3180" t="s">
        <v>451</v>
      </c>
      <c r="B3180" t="s">
        <v>99</v>
      </c>
      <c r="C3180" s="2">
        <f>HYPERLINK("https://svao.dolgi.msk.ru/account/1760111285/", 1760111285)</f>
        <v>1760111285</v>
      </c>
      <c r="D3180">
        <v>4236.4799999999996</v>
      </c>
    </row>
    <row r="3181" spans="1:4" x14ac:dyDescent="0.25">
      <c r="A3181" t="s">
        <v>451</v>
      </c>
      <c r="B3181" t="s">
        <v>99</v>
      </c>
      <c r="C3181" s="2">
        <f>HYPERLINK("https://svao.dolgi.msk.ru/account/1760111293/", 1760111293)</f>
        <v>1760111293</v>
      </c>
      <c r="D3181">
        <v>3409.01</v>
      </c>
    </row>
    <row r="3182" spans="1:4" x14ac:dyDescent="0.25">
      <c r="A3182" t="s">
        <v>451</v>
      </c>
      <c r="B3182" t="s">
        <v>333</v>
      </c>
      <c r="C3182" s="2">
        <f>HYPERLINK("https://svao.dolgi.msk.ru/account/1760111357/", 1760111357)</f>
        <v>1760111357</v>
      </c>
      <c r="D3182">
        <v>2056.88</v>
      </c>
    </row>
    <row r="3183" spans="1:4" x14ac:dyDescent="0.25">
      <c r="A3183" t="s">
        <v>451</v>
      </c>
      <c r="B3183" t="s">
        <v>333</v>
      </c>
      <c r="C3183" s="2">
        <f>HYPERLINK("https://svao.dolgi.msk.ru/account/1760111373/", 1760111373)</f>
        <v>1760111373</v>
      </c>
      <c r="D3183">
        <v>2272.89</v>
      </c>
    </row>
    <row r="3184" spans="1:4" x14ac:dyDescent="0.25">
      <c r="A3184" t="s">
        <v>451</v>
      </c>
      <c r="B3184" t="s">
        <v>246</v>
      </c>
      <c r="C3184" s="2">
        <f>HYPERLINK("https://svao.dolgi.msk.ru/account/1760111488/", 1760111488)</f>
        <v>1760111488</v>
      </c>
      <c r="D3184">
        <v>71681.009999999995</v>
      </c>
    </row>
    <row r="3185" spans="1:4" x14ac:dyDescent="0.25">
      <c r="A3185" t="s">
        <v>451</v>
      </c>
      <c r="B3185" t="s">
        <v>140</v>
      </c>
      <c r="C3185" s="2">
        <f>HYPERLINK("https://svao.dolgi.msk.ru/account/1760111517/", 1760111517)</f>
        <v>1760111517</v>
      </c>
      <c r="D3185">
        <v>5477.34</v>
      </c>
    </row>
    <row r="3186" spans="1:4" x14ac:dyDescent="0.25">
      <c r="A3186" t="s">
        <v>451</v>
      </c>
      <c r="B3186" t="s">
        <v>44</v>
      </c>
      <c r="C3186" s="2">
        <f>HYPERLINK("https://svao.dolgi.msk.ru/account/1760111525/", 1760111525)</f>
        <v>1760111525</v>
      </c>
      <c r="D3186">
        <v>14537.62</v>
      </c>
    </row>
    <row r="3187" spans="1:4" x14ac:dyDescent="0.25">
      <c r="A3187" t="s">
        <v>451</v>
      </c>
      <c r="B3187" t="s">
        <v>45</v>
      </c>
      <c r="C3187" s="2">
        <f>HYPERLINK("https://svao.dolgi.msk.ru/account/1760111613/", 1760111613)</f>
        <v>1760111613</v>
      </c>
      <c r="D3187">
        <v>6398.27</v>
      </c>
    </row>
    <row r="3188" spans="1:4" x14ac:dyDescent="0.25">
      <c r="A3188" t="s">
        <v>451</v>
      </c>
      <c r="B3188" t="s">
        <v>315</v>
      </c>
      <c r="C3188" s="2">
        <f>HYPERLINK("https://svao.dolgi.msk.ru/account/1760111648/", 1760111648)</f>
        <v>1760111648</v>
      </c>
      <c r="D3188">
        <v>21713.65</v>
      </c>
    </row>
    <row r="3189" spans="1:4" x14ac:dyDescent="0.25">
      <c r="A3189" t="s">
        <v>451</v>
      </c>
      <c r="B3189" t="s">
        <v>301</v>
      </c>
      <c r="C3189" s="2">
        <f>HYPERLINK("https://svao.dolgi.msk.ru/account/1760111672/", 1760111672)</f>
        <v>1760111672</v>
      </c>
      <c r="D3189">
        <v>4518.5</v>
      </c>
    </row>
    <row r="3190" spans="1:4" x14ac:dyDescent="0.25">
      <c r="A3190" t="s">
        <v>451</v>
      </c>
      <c r="B3190" t="s">
        <v>46</v>
      </c>
      <c r="C3190" s="2">
        <f>HYPERLINK("https://svao.dolgi.msk.ru/account/1760111728/", 1760111728)</f>
        <v>1760111728</v>
      </c>
      <c r="D3190">
        <v>272.23</v>
      </c>
    </row>
    <row r="3191" spans="1:4" x14ac:dyDescent="0.25">
      <c r="A3191" t="s">
        <v>451</v>
      </c>
      <c r="B3191" t="s">
        <v>47</v>
      </c>
      <c r="C3191" s="2">
        <f>HYPERLINK("https://svao.dolgi.msk.ru/account/1760111779/", 1760111779)</f>
        <v>1760111779</v>
      </c>
      <c r="D3191">
        <v>5136.13</v>
      </c>
    </row>
    <row r="3192" spans="1:4" x14ac:dyDescent="0.25">
      <c r="A3192" t="s">
        <v>452</v>
      </c>
      <c r="B3192" t="s">
        <v>294</v>
      </c>
      <c r="C3192" s="2">
        <f>HYPERLINK("https://svao.dolgi.msk.ru/account/1760111875/", 1760111875)</f>
        <v>1760111875</v>
      </c>
      <c r="D3192">
        <v>8170.35</v>
      </c>
    </row>
    <row r="3193" spans="1:4" x14ac:dyDescent="0.25">
      <c r="A3193" t="s">
        <v>452</v>
      </c>
      <c r="B3193" t="s">
        <v>147</v>
      </c>
      <c r="C3193" s="2">
        <f>HYPERLINK("https://svao.dolgi.msk.ru/account/1760111883/", 1760111883)</f>
        <v>1760111883</v>
      </c>
      <c r="D3193">
        <v>1807.33</v>
      </c>
    </row>
    <row r="3194" spans="1:4" x14ac:dyDescent="0.25">
      <c r="A3194" t="s">
        <v>452</v>
      </c>
      <c r="B3194" t="s">
        <v>147</v>
      </c>
      <c r="C3194" s="2">
        <f>HYPERLINK("https://svao.dolgi.msk.ru/account/1760253603/", 1760253603)</f>
        <v>1760253603</v>
      </c>
      <c r="D3194">
        <v>1539.56</v>
      </c>
    </row>
    <row r="3195" spans="1:4" x14ac:dyDescent="0.25">
      <c r="A3195" t="s">
        <v>452</v>
      </c>
      <c r="B3195" t="s">
        <v>306</v>
      </c>
      <c r="C3195" s="2">
        <f>HYPERLINK("https://svao.dolgi.msk.ru/account/1760111912/", 1760111912)</f>
        <v>1760111912</v>
      </c>
      <c r="D3195">
        <v>10708.08</v>
      </c>
    </row>
    <row r="3196" spans="1:4" x14ac:dyDescent="0.25">
      <c r="A3196" t="s">
        <v>452</v>
      </c>
      <c r="B3196" t="s">
        <v>51</v>
      </c>
      <c r="C3196" s="2">
        <f>HYPERLINK("https://svao.dolgi.msk.ru/account/1760111955/", 1760111955)</f>
        <v>1760111955</v>
      </c>
      <c r="D3196">
        <v>168.27</v>
      </c>
    </row>
    <row r="3197" spans="1:4" x14ac:dyDescent="0.25">
      <c r="A3197" t="s">
        <v>452</v>
      </c>
      <c r="B3197" t="s">
        <v>331</v>
      </c>
      <c r="C3197" s="2">
        <f>HYPERLINK("https://svao.dolgi.msk.ru/account/1760111971/", 1760111971)</f>
        <v>1760111971</v>
      </c>
      <c r="D3197">
        <v>4640.1099999999997</v>
      </c>
    </row>
    <row r="3198" spans="1:4" x14ac:dyDescent="0.25">
      <c r="A3198" t="s">
        <v>452</v>
      </c>
      <c r="B3198" t="s">
        <v>149</v>
      </c>
      <c r="C3198" s="2">
        <f>HYPERLINK("https://svao.dolgi.msk.ru/account/1760112042/", 1760112042)</f>
        <v>1760112042</v>
      </c>
      <c r="D3198">
        <v>4078.16</v>
      </c>
    </row>
    <row r="3199" spans="1:4" x14ac:dyDescent="0.25">
      <c r="A3199" t="s">
        <v>452</v>
      </c>
      <c r="B3199" t="s">
        <v>307</v>
      </c>
      <c r="C3199" s="2">
        <f>HYPERLINK("https://svao.dolgi.msk.ru/account/1760112069/", 1760112069)</f>
        <v>1760112069</v>
      </c>
      <c r="D3199">
        <v>22393.02</v>
      </c>
    </row>
    <row r="3200" spans="1:4" x14ac:dyDescent="0.25">
      <c r="A3200" t="s">
        <v>452</v>
      </c>
      <c r="B3200" t="s">
        <v>150</v>
      </c>
      <c r="C3200" s="2">
        <f>HYPERLINK("https://svao.dolgi.msk.ru/account/1760112077/", 1760112077)</f>
        <v>1760112077</v>
      </c>
      <c r="D3200">
        <v>1279.44</v>
      </c>
    </row>
    <row r="3201" spans="1:4" x14ac:dyDescent="0.25">
      <c r="A3201" t="s">
        <v>452</v>
      </c>
      <c r="B3201" t="s">
        <v>151</v>
      </c>
      <c r="C3201" s="2">
        <f>HYPERLINK("https://svao.dolgi.msk.ru/account/1760112085/", 1760112085)</f>
        <v>1760112085</v>
      </c>
      <c r="D3201">
        <v>4529.01</v>
      </c>
    </row>
    <row r="3202" spans="1:4" x14ac:dyDescent="0.25">
      <c r="A3202" t="s">
        <v>452</v>
      </c>
      <c r="B3202" t="s">
        <v>308</v>
      </c>
      <c r="C3202" s="2">
        <f>HYPERLINK("https://svao.dolgi.msk.ru/account/1760112173/", 1760112173)</f>
        <v>1760112173</v>
      </c>
      <c r="D3202">
        <v>106284.08</v>
      </c>
    </row>
    <row r="3203" spans="1:4" x14ac:dyDescent="0.25">
      <c r="A3203" t="s">
        <v>452</v>
      </c>
      <c r="B3203" t="s">
        <v>255</v>
      </c>
      <c r="C3203" s="2">
        <f>HYPERLINK("https://svao.dolgi.msk.ru/account/1760112237/", 1760112237)</f>
        <v>1760112237</v>
      </c>
      <c r="D3203">
        <v>4502.78</v>
      </c>
    </row>
    <row r="3204" spans="1:4" x14ac:dyDescent="0.25">
      <c r="A3204" t="s">
        <v>452</v>
      </c>
      <c r="B3204" t="s">
        <v>327</v>
      </c>
      <c r="C3204" s="2">
        <f>HYPERLINK("https://svao.dolgi.msk.ru/account/1760112296/", 1760112296)</f>
        <v>1760112296</v>
      </c>
      <c r="D3204">
        <v>4483.5200000000004</v>
      </c>
    </row>
    <row r="3205" spans="1:4" x14ac:dyDescent="0.25">
      <c r="A3205" t="s">
        <v>452</v>
      </c>
      <c r="B3205" t="s">
        <v>154</v>
      </c>
      <c r="C3205" s="2">
        <f>HYPERLINK("https://svao.dolgi.msk.ru/account/1760112317/", 1760112317)</f>
        <v>1760112317</v>
      </c>
      <c r="D3205">
        <v>6696.03</v>
      </c>
    </row>
    <row r="3206" spans="1:4" x14ac:dyDescent="0.25">
      <c r="A3206" t="s">
        <v>452</v>
      </c>
      <c r="B3206" t="s">
        <v>335</v>
      </c>
      <c r="C3206" s="2">
        <f>HYPERLINK("https://svao.dolgi.msk.ru/account/1760112341/", 1760112341)</f>
        <v>1760112341</v>
      </c>
      <c r="D3206">
        <v>225.35</v>
      </c>
    </row>
    <row r="3207" spans="1:4" x14ac:dyDescent="0.25">
      <c r="A3207" t="s">
        <v>452</v>
      </c>
      <c r="B3207" t="s">
        <v>341</v>
      </c>
      <c r="C3207" s="2">
        <f>HYPERLINK("https://svao.dolgi.msk.ru/account/1760112448/", 1760112448)</f>
        <v>1760112448</v>
      </c>
      <c r="D3207">
        <v>10464.4</v>
      </c>
    </row>
    <row r="3208" spans="1:4" x14ac:dyDescent="0.25">
      <c r="A3208" t="s">
        <v>452</v>
      </c>
      <c r="B3208" t="s">
        <v>377</v>
      </c>
      <c r="C3208" s="2">
        <f>HYPERLINK("https://svao.dolgi.msk.ru/account/1760112456/", 1760112456)</f>
        <v>1760112456</v>
      </c>
      <c r="D3208">
        <v>3667.67</v>
      </c>
    </row>
    <row r="3209" spans="1:4" x14ac:dyDescent="0.25">
      <c r="A3209" t="s">
        <v>452</v>
      </c>
      <c r="B3209" t="s">
        <v>59</v>
      </c>
      <c r="C3209" s="2">
        <f>HYPERLINK("https://svao.dolgi.msk.ru/account/1760112528/", 1760112528)</f>
        <v>1760112528</v>
      </c>
      <c r="D3209">
        <v>5990.01</v>
      </c>
    </row>
    <row r="3210" spans="1:4" x14ac:dyDescent="0.25">
      <c r="A3210" t="s">
        <v>452</v>
      </c>
      <c r="B3210" t="s">
        <v>256</v>
      </c>
      <c r="C3210" s="2">
        <f>HYPERLINK("https://svao.dolgi.msk.ru/account/1760112536/", 1760112536)</f>
        <v>1760112536</v>
      </c>
      <c r="D3210">
        <v>2454.6999999999998</v>
      </c>
    </row>
    <row r="3211" spans="1:4" x14ac:dyDescent="0.25">
      <c r="A3211" t="s">
        <v>452</v>
      </c>
      <c r="B3211" t="s">
        <v>60</v>
      </c>
      <c r="C3211" s="2">
        <f>HYPERLINK("https://svao.dolgi.msk.ru/account/1760112552/", 1760112552)</f>
        <v>1760112552</v>
      </c>
      <c r="D3211">
        <v>526.48</v>
      </c>
    </row>
    <row r="3212" spans="1:4" x14ac:dyDescent="0.25">
      <c r="A3212" t="s">
        <v>453</v>
      </c>
      <c r="B3212" t="s">
        <v>61</v>
      </c>
      <c r="C3212" s="2">
        <f>HYPERLINK("https://svao.dolgi.msk.ru/account/1760112608/", 1760112608)</f>
        <v>1760112608</v>
      </c>
      <c r="D3212">
        <v>6631.89</v>
      </c>
    </row>
    <row r="3213" spans="1:4" x14ac:dyDescent="0.25">
      <c r="A3213" t="s">
        <v>453</v>
      </c>
      <c r="B3213" t="s">
        <v>63</v>
      </c>
      <c r="C3213" s="2">
        <f>HYPERLINK("https://svao.dolgi.msk.ru/account/1760112675/", 1760112675)</f>
        <v>1760112675</v>
      </c>
      <c r="D3213">
        <v>148.26</v>
      </c>
    </row>
    <row r="3214" spans="1:4" x14ac:dyDescent="0.25">
      <c r="A3214" t="s">
        <v>453</v>
      </c>
      <c r="B3214" t="s">
        <v>64</v>
      </c>
      <c r="C3214" s="2">
        <f>HYPERLINK("https://svao.dolgi.msk.ru/account/1760112691/", 1760112691)</f>
        <v>1760112691</v>
      </c>
      <c r="D3214">
        <v>5973.05</v>
      </c>
    </row>
    <row r="3215" spans="1:4" x14ac:dyDescent="0.25">
      <c r="A3215" t="s">
        <v>453</v>
      </c>
      <c r="B3215" t="s">
        <v>65</v>
      </c>
      <c r="C3215" s="2">
        <f>HYPERLINK("https://svao.dolgi.msk.ru/account/1760112704/", 1760112704)</f>
        <v>1760112704</v>
      </c>
      <c r="D3215">
        <v>6930.65</v>
      </c>
    </row>
    <row r="3216" spans="1:4" x14ac:dyDescent="0.25">
      <c r="A3216" t="s">
        <v>453</v>
      </c>
      <c r="B3216" t="s">
        <v>67</v>
      </c>
      <c r="C3216" s="2">
        <f>HYPERLINK("https://svao.dolgi.msk.ru/account/1760112763/", 1760112763)</f>
        <v>1760112763</v>
      </c>
      <c r="D3216">
        <v>1152.6400000000001</v>
      </c>
    </row>
    <row r="3217" spans="1:4" x14ac:dyDescent="0.25">
      <c r="A3217" t="s">
        <v>453</v>
      </c>
      <c r="B3217" t="s">
        <v>379</v>
      </c>
      <c r="C3217" s="2">
        <f>HYPERLINK("https://svao.dolgi.msk.ru/account/1760112771/", 1760112771)</f>
        <v>1760112771</v>
      </c>
      <c r="D3217">
        <v>12745.28</v>
      </c>
    </row>
    <row r="3218" spans="1:4" x14ac:dyDescent="0.25">
      <c r="A3218" t="s">
        <v>453</v>
      </c>
      <c r="B3218" t="s">
        <v>68</v>
      </c>
      <c r="C3218" s="2">
        <f>HYPERLINK("https://svao.dolgi.msk.ru/account/1760112907/", 1760112907)</f>
        <v>1760112907</v>
      </c>
      <c r="D3218">
        <v>4480.4399999999996</v>
      </c>
    </row>
    <row r="3219" spans="1:4" x14ac:dyDescent="0.25">
      <c r="A3219" t="s">
        <v>453</v>
      </c>
      <c r="B3219" t="s">
        <v>259</v>
      </c>
      <c r="C3219" s="2">
        <f>HYPERLINK("https://svao.dolgi.msk.ru/account/1760112931/", 1760112931)</f>
        <v>1760112931</v>
      </c>
      <c r="D3219">
        <v>6260.23</v>
      </c>
    </row>
    <row r="3220" spans="1:4" x14ac:dyDescent="0.25">
      <c r="A3220" t="s">
        <v>453</v>
      </c>
      <c r="B3220" t="s">
        <v>71</v>
      </c>
      <c r="C3220" s="2">
        <f>HYPERLINK("https://svao.dolgi.msk.ru/account/1760113045/", 1760113045)</f>
        <v>1760113045</v>
      </c>
      <c r="D3220">
        <v>9956.69</v>
      </c>
    </row>
    <row r="3221" spans="1:4" x14ac:dyDescent="0.25">
      <c r="A3221" t="s">
        <v>453</v>
      </c>
      <c r="B3221" t="s">
        <v>165</v>
      </c>
      <c r="C3221" s="2">
        <f>HYPERLINK("https://svao.dolgi.msk.ru/account/1760113096/", 1760113096)</f>
        <v>1760113096</v>
      </c>
      <c r="D3221">
        <v>4995.07</v>
      </c>
    </row>
    <row r="3222" spans="1:4" x14ac:dyDescent="0.25">
      <c r="A3222" t="s">
        <v>453</v>
      </c>
      <c r="B3222" t="s">
        <v>167</v>
      </c>
      <c r="C3222" s="2">
        <f>HYPERLINK("https://svao.dolgi.msk.ru/account/1760113117/", 1760113117)</f>
        <v>1760113117</v>
      </c>
      <c r="D3222">
        <v>8127.87</v>
      </c>
    </row>
    <row r="3223" spans="1:4" x14ac:dyDescent="0.25">
      <c r="A3223" t="s">
        <v>453</v>
      </c>
      <c r="B3223" t="s">
        <v>417</v>
      </c>
      <c r="C3223" s="2">
        <f>HYPERLINK("https://svao.dolgi.msk.ru/account/1760113125/", 1760113125)</f>
        <v>1760113125</v>
      </c>
      <c r="D3223">
        <v>7341.42</v>
      </c>
    </row>
    <row r="3224" spans="1:4" x14ac:dyDescent="0.25">
      <c r="A3224" t="s">
        <v>453</v>
      </c>
      <c r="B3224" t="s">
        <v>454</v>
      </c>
      <c r="C3224" s="2">
        <f>HYPERLINK("https://svao.dolgi.msk.ru/account/1760113133/", 1760113133)</f>
        <v>1760113133</v>
      </c>
      <c r="D3224">
        <v>5602.13</v>
      </c>
    </row>
    <row r="3225" spans="1:4" x14ac:dyDescent="0.25">
      <c r="A3225" t="s">
        <v>453</v>
      </c>
      <c r="B3225" t="s">
        <v>418</v>
      </c>
      <c r="C3225" s="2">
        <f>HYPERLINK("https://svao.dolgi.msk.ru/account/1760113141/", 1760113141)</f>
        <v>1760113141</v>
      </c>
      <c r="D3225">
        <v>4983.8500000000004</v>
      </c>
    </row>
    <row r="3226" spans="1:4" x14ac:dyDescent="0.25">
      <c r="A3226" t="s">
        <v>455</v>
      </c>
      <c r="B3226" t="s">
        <v>6</v>
      </c>
      <c r="C3226" s="2">
        <f>HYPERLINK("https://svao.dolgi.msk.ru/account/1760113192/", 1760113192)</f>
        <v>1760113192</v>
      </c>
      <c r="D3226">
        <v>11949.45</v>
      </c>
    </row>
    <row r="3227" spans="1:4" x14ac:dyDescent="0.25">
      <c r="A3227" t="s">
        <v>455</v>
      </c>
      <c r="B3227" t="s">
        <v>7</v>
      </c>
      <c r="C3227" s="2">
        <f>HYPERLINK("https://svao.dolgi.msk.ru/account/1760113221/", 1760113221)</f>
        <v>1760113221</v>
      </c>
      <c r="D3227">
        <v>3662.41</v>
      </c>
    </row>
    <row r="3228" spans="1:4" x14ac:dyDescent="0.25">
      <c r="A3228" t="s">
        <v>455</v>
      </c>
      <c r="B3228" t="s">
        <v>74</v>
      </c>
      <c r="C3228" s="2">
        <f>HYPERLINK("https://svao.dolgi.msk.ru/account/1760113336/", 1760113336)</f>
        <v>1760113336</v>
      </c>
      <c r="D3228">
        <v>110.75</v>
      </c>
    </row>
    <row r="3229" spans="1:4" x14ac:dyDescent="0.25">
      <c r="A3229" t="s">
        <v>455</v>
      </c>
      <c r="B3229" t="s">
        <v>137</v>
      </c>
      <c r="C3229" s="2">
        <f>HYPERLINK("https://svao.dolgi.msk.ru/account/1760113344/", 1760113344)</f>
        <v>1760113344</v>
      </c>
      <c r="D3229">
        <v>16846.189999999999</v>
      </c>
    </row>
    <row r="3230" spans="1:4" x14ac:dyDescent="0.25">
      <c r="A3230" t="s">
        <v>455</v>
      </c>
      <c r="B3230" t="s">
        <v>9</v>
      </c>
      <c r="C3230" s="2">
        <f>HYPERLINK("https://svao.dolgi.msk.ru/account/1760113352/", 1760113352)</f>
        <v>1760113352</v>
      </c>
      <c r="D3230">
        <v>3503.02</v>
      </c>
    </row>
    <row r="3231" spans="1:4" x14ac:dyDescent="0.25">
      <c r="A3231" t="s">
        <v>455</v>
      </c>
      <c r="B3231" t="s">
        <v>75</v>
      </c>
      <c r="C3231" s="2">
        <f>HYPERLINK("https://svao.dolgi.msk.ru/account/1760113379/", 1760113379)</f>
        <v>1760113379</v>
      </c>
      <c r="D3231">
        <v>3115.15</v>
      </c>
    </row>
    <row r="3232" spans="1:4" x14ac:dyDescent="0.25">
      <c r="A3232" t="s">
        <v>455</v>
      </c>
      <c r="B3232" t="s">
        <v>91</v>
      </c>
      <c r="C3232" s="2">
        <f>HYPERLINK("https://svao.dolgi.msk.ru/account/1760113387/", 1760113387)</f>
        <v>1760113387</v>
      </c>
      <c r="D3232">
        <v>8172.94</v>
      </c>
    </row>
    <row r="3233" spans="1:4" x14ac:dyDescent="0.25">
      <c r="A3233" t="s">
        <v>455</v>
      </c>
      <c r="B3233" t="s">
        <v>219</v>
      </c>
      <c r="C3233" s="2">
        <f>HYPERLINK("https://svao.dolgi.msk.ru/account/1760113408/", 1760113408)</f>
        <v>1760113408</v>
      </c>
      <c r="D3233">
        <v>30969.31</v>
      </c>
    </row>
    <row r="3234" spans="1:4" x14ac:dyDescent="0.25">
      <c r="A3234" t="s">
        <v>455</v>
      </c>
      <c r="B3234" t="s">
        <v>106</v>
      </c>
      <c r="C3234" s="2">
        <f>HYPERLINK("https://svao.dolgi.msk.ru/account/1760113467/", 1760113467)</f>
        <v>1760113467</v>
      </c>
      <c r="D3234">
        <v>3335.27</v>
      </c>
    </row>
    <row r="3235" spans="1:4" x14ac:dyDescent="0.25">
      <c r="A3235" t="s">
        <v>455</v>
      </c>
      <c r="B3235" t="s">
        <v>107</v>
      </c>
      <c r="C3235" s="2">
        <f>HYPERLINK("https://svao.dolgi.msk.ru/account/1760113475/", 1760113475)</f>
        <v>1760113475</v>
      </c>
      <c r="D3235">
        <v>2697.26</v>
      </c>
    </row>
    <row r="3236" spans="1:4" x14ac:dyDescent="0.25">
      <c r="A3236" t="s">
        <v>455</v>
      </c>
      <c r="B3236" t="s">
        <v>16</v>
      </c>
      <c r="C3236" s="2">
        <f>HYPERLINK("https://svao.dolgi.msk.ru/account/1760113504/", 1760113504)</f>
        <v>1760113504</v>
      </c>
      <c r="D3236">
        <v>26425.279999999999</v>
      </c>
    </row>
    <row r="3237" spans="1:4" x14ac:dyDescent="0.25">
      <c r="A3237" t="s">
        <v>455</v>
      </c>
      <c r="B3237" t="s">
        <v>109</v>
      </c>
      <c r="C3237" s="2">
        <f>HYPERLINK("https://svao.dolgi.msk.ru/account/1760113555/", 1760113555)</f>
        <v>1760113555</v>
      </c>
      <c r="D3237">
        <v>3225.57</v>
      </c>
    </row>
    <row r="3238" spans="1:4" x14ac:dyDescent="0.25">
      <c r="A3238" t="s">
        <v>455</v>
      </c>
      <c r="B3238" t="s">
        <v>113</v>
      </c>
      <c r="C3238" s="2">
        <f>HYPERLINK("https://svao.dolgi.msk.ru/account/1760113678/", 1760113678)</f>
        <v>1760113678</v>
      </c>
      <c r="D3238">
        <v>8309.98</v>
      </c>
    </row>
    <row r="3239" spans="1:4" x14ac:dyDescent="0.25">
      <c r="A3239" t="s">
        <v>455</v>
      </c>
      <c r="B3239" t="s">
        <v>114</v>
      </c>
      <c r="C3239" s="2">
        <f>HYPERLINK("https://svao.dolgi.msk.ru/account/1760113707/", 1760113707)</f>
        <v>1760113707</v>
      </c>
      <c r="D3239">
        <v>21005.83</v>
      </c>
    </row>
    <row r="3240" spans="1:4" x14ac:dyDescent="0.25">
      <c r="A3240" t="s">
        <v>455</v>
      </c>
      <c r="B3240" t="s">
        <v>78</v>
      </c>
      <c r="C3240" s="2">
        <f>HYPERLINK("https://svao.dolgi.msk.ru/account/1760113715/", 1760113715)</f>
        <v>1760113715</v>
      </c>
      <c r="D3240">
        <v>3698.12</v>
      </c>
    </row>
    <row r="3241" spans="1:4" x14ac:dyDescent="0.25">
      <c r="A3241" t="s">
        <v>455</v>
      </c>
      <c r="B3241" t="s">
        <v>115</v>
      </c>
      <c r="C3241" s="2">
        <f>HYPERLINK("https://svao.dolgi.msk.ru/account/1760113782/", 1760113782)</f>
        <v>1760113782</v>
      </c>
      <c r="D3241">
        <v>3933.89</v>
      </c>
    </row>
    <row r="3242" spans="1:4" x14ac:dyDescent="0.25">
      <c r="A3242" t="s">
        <v>455</v>
      </c>
      <c r="B3242" t="s">
        <v>242</v>
      </c>
      <c r="C3242" s="2">
        <f>HYPERLINK("https://svao.dolgi.msk.ru/account/1760113846/", 1760113846)</f>
        <v>1760113846</v>
      </c>
      <c r="D3242">
        <v>2435.25</v>
      </c>
    </row>
    <row r="3243" spans="1:4" x14ac:dyDescent="0.25">
      <c r="A3243" t="s">
        <v>455</v>
      </c>
      <c r="B3243" t="s">
        <v>125</v>
      </c>
      <c r="C3243" s="2">
        <f>HYPERLINK("https://svao.dolgi.msk.ru/account/1760113889/", 1760113889)</f>
        <v>1760113889</v>
      </c>
      <c r="D3243">
        <v>245974.99</v>
      </c>
    </row>
    <row r="3244" spans="1:4" x14ac:dyDescent="0.25">
      <c r="A3244" t="s">
        <v>455</v>
      </c>
      <c r="B3244" t="s">
        <v>80</v>
      </c>
      <c r="C3244" s="2">
        <f>HYPERLINK("https://svao.dolgi.msk.ru/account/1760113918/", 1760113918)</f>
        <v>1760113918</v>
      </c>
      <c r="D3244">
        <v>9698.86</v>
      </c>
    </row>
    <row r="3245" spans="1:4" x14ac:dyDescent="0.25">
      <c r="A3245" t="s">
        <v>455</v>
      </c>
      <c r="B3245" t="s">
        <v>120</v>
      </c>
      <c r="C3245" s="2">
        <f>HYPERLINK("https://svao.dolgi.msk.ru/account/1760113977/", 1760113977)</f>
        <v>1760113977</v>
      </c>
      <c r="D3245">
        <v>6051.64</v>
      </c>
    </row>
    <row r="3246" spans="1:4" x14ac:dyDescent="0.25">
      <c r="A3246" t="s">
        <v>455</v>
      </c>
      <c r="B3246" t="s">
        <v>82</v>
      </c>
      <c r="C3246" s="2">
        <f>HYPERLINK("https://svao.dolgi.msk.ru/account/1760113985/", 1760113985)</f>
        <v>1760113985</v>
      </c>
      <c r="D3246">
        <v>2647.18</v>
      </c>
    </row>
    <row r="3247" spans="1:4" x14ac:dyDescent="0.25">
      <c r="A3247" t="s">
        <v>455</v>
      </c>
      <c r="B3247" t="s">
        <v>26</v>
      </c>
      <c r="C3247" s="2">
        <f>HYPERLINK("https://svao.dolgi.msk.ru/account/1760114048/", 1760114048)</f>
        <v>1760114048</v>
      </c>
      <c r="D3247">
        <v>307440.69</v>
      </c>
    </row>
    <row r="3248" spans="1:4" x14ac:dyDescent="0.25">
      <c r="A3248" t="s">
        <v>455</v>
      </c>
      <c r="B3248" t="s">
        <v>96</v>
      </c>
      <c r="C3248" s="2">
        <f>HYPERLINK("https://svao.dolgi.msk.ru/account/1760114064/", 1760114064)</f>
        <v>1760114064</v>
      </c>
      <c r="D3248">
        <v>3705.86</v>
      </c>
    </row>
    <row r="3249" spans="1:4" x14ac:dyDescent="0.25">
      <c r="A3249" t="s">
        <v>456</v>
      </c>
      <c r="B3249" t="s">
        <v>41</v>
      </c>
      <c r="C3249" s="2">
        <f>HYPERLINK("https://svao.dolgi.msk.ru/account/1760130873/", 1760130873)</f>
        <v>1760130873</v>
      </c>
      <c r="D3249">
        <v>5777.4</v>
      </c>
    </row>
    <row r="3250" spans="1:4" x14ac:dyDescent="0.25">
      <c r="A3250" t="s">
        <v>456</v>
      </c>
      <c r="B3250" t="s">
        <v>141</v>
      </c>
      <c r="C3250" s="2">
        <f>HYPERLINK("https://svao.dolgi.msk.ru/account/1760130937/", 1760130937)</f>
        <v>1760130937</v>
      </c>
      <c r="D3250">
        <v>6770.13</v>
      </c>
    </row>
    <row r="3251" spans="1:4" x14ac:dyDescent="0.25">
      <c r="A3251" t="s">
        <v>456</v>
      </c>
      <c r="B3251" t="s">
        <v>102</v>
      </c>
      <c r="C3251" s="2">
        <f>HYPERLINK("https://svao.dolgi.msk.ru/account/1760130945/", 1760130945)</f>
        <v>1760130945</v>
      </c>
      <c r="D3251">
        <v>483.87</v>
      </c>
    </row>
    <row r="3252" spans="1:4" x14ac:dyDescent="0.25">
      <c r="A3252" t="s">
        <v>456</v>
      </c>
      <c r="B3252" t="s">
        <v>103</v>
      </c>
      <c r="C3252" s="2">
        <f>HYPERLINK("https://svao.dolgi.msk.ru/account/1760130953/", 1760130953)</f>
        <v>1760130953</v>
      </c>
      <c r="D3252">
        <v>5509.54</v>
      </c>
    </row>
    <row r="3253" spans="1:4" x14ac:dyDescent="0.25">
      <c r="A3253" t="s">
        <v>456</v>
      </c>
      <c r="B3253" t="s">
        <v>104</v>
      </c>
      <c r="C3253" s="2">
        <f>HYPERLINK("https://svao.dolgi.msk.ru/account/1760130988/", 1760130988)</f>
        <v>1760130988</v>
      </c>
      <c r="D3253">
        <v>2840.82</v>
      </c>
    </row>
    <row r="3254" spans="1:4" x14ac:dyDescent="0.25">
      <c r="A3254" t="s">
        <v>456</v>
      </c>
      <c r="B3254" t="s">
        <v>8</v>
      </c>
      <c r="C3254" s="2">
        <f>HYPERLINK("https://svao.dolgi.msk.ru/account/1760130996/", 1760130996)</f>
        <v>1760130996</v>
      </c>
      <c r="D3254">
        <v>6287.16</v>
      </c>
    </row>
    <row r="3255" spans="1:4" x14ac:dyDescent="0.25">
      <c r="A3255" t="s">
        <v>456</v>
      </c>
      <c r="B3255" t="s">
        <v>13</v>
      </c>
      <c r="C3255" s="2">
        <f>HYPERLINK("https://svao.dolgi.msk.ru/account/1760131104/", 1760131104)</f>
        <v>1760131104</v>
      </c>
      <c r="D3255">
        <v>37418.54</v>
      </c>
    </row>
    <row r="3256" spans="1:4" x14ac:dyDescent="0.25">
      <c r="A3256" t="s">
        <v>456</v>
      </c>
      <c r="B3256" t="s">
        <v>457</v>
      </c>
      <c r="C3256" s="2">
        <f>HYPERLINK("https://svao.dolgi.msk.ru/account/1760131147/", 1760131147)</f>
        <v>1760131147</v>
      </c>
      <c r="D3256">
        <v>14238.87</v>
      </c>
    </row>
    <row r="3257" spans="1:4" x14ac:dyDescent="0.25">
      <c r="A3257" t="s">
        <v>456</v>
      </c>
      <c r="B3257" t="s">
        <v>15</v>
      </c>
      <c r="C3257" s="2">
        <f>HYPERLINK("https://svao.dolgi.msk.ru/account/1760131534/", 1760131534)</f>
        <v>1760131534</v>
      </c>
      <c r="D3257">
        <v>2136.7399999999998</v>
      </c>
    </row>
    <row r="3258" spans="1:4" x14ac:dyDescent="0.25">
      <c r="A3258" t="s">
        <v>456</v>
      </c>
      <c r="B3258" t="s">
        <v>109</v>
      </c>
      <c r="C3258" s="2">
        <f>HYPERLINK("https://svao.dolgi.msk.ru/account/1760131227/", 1760131227)</f>
        <v>1760131227</v>
      </c>
      <c r="D3258">
        <v>5243.49</v>
      </c>
    </row>
    <row r="3259" spans="1:4" x14ac:dyDescent="0.25">
      <c r="A3259" t="s">
        <v>456</v>
      </c>
      <c r="B3259" t="s">
        <v>110</v>
      </c>
      <c r="C3259" s="2">
        <f>HYPERLINK("https://svao.dolgi.msk.ru/account/1760131235/", 1760131235)</f>
        <v>1760131235</v>
      </c>
      <c r="D3259">
        <v>3888.83</v>
      </c>
    </row>
    <row r="3260" spans="1:4" x14ac:dyDescent="0.25">
      <c r="A3260" t="s">
        <v>456</v>
      </c>
      <c r="B3260" t="s">
        <v>112</v>
      </c>
      <c r="C3260" s="2">
        <f>HYPERLINK("https://svao.dolgi.msk.ru/account/1760131307/", 1760131307)</f>
        <v>1760131307</v>
      </c>
      <c r="D3260">
        <v>25360.17</v>
      </c>
    </row>
    <row r="3261" spans="1:4" x14ac:dyDescent="0.25">
      <c r="A3261" t="s">
        <v>456</v>
      </c>
      <c r="B3261" t="s">
        <v>114</v>
      </c>
      <c r="C3261" s="2">
        <f>HYPERLINK("https://svao.dolgi.msk.ru/account/1760131358/", 1760131358)</f>
        <v>1760131358</v>
      </c>
      <c r="D3261">
        <v>8959.18</v>
      </c>
    </row>
    <row r="3262" spans="1:4" x14ac:dyDescent="0.25">
      <c r="A3262" t="s">
        <v>456</v>
      </c>
      <c r="B3262" t="s">
        <v>22</v>
      </c>
      <c r="C3262" s="2">
        <f>HYPERLINK("https://svao.dolgi.msk.ru/account/1760131374/", 1760131374)</f>
        <v>1760131374</v>
      </c>
      <c r="D3262">
        <v>2150.77</v>
      </c>
    </row>
    <row r="3263" spans="1:4" x14ac:dyDescent="0.25">
      <c r="A3263" t="s">
        <v>456</v>
      </c>
      <c r="B3263" t="s">
        <v>79</v>
      </c>
      <c r="C3263" s="2">
        <f>HYPERLINK("https://svao.dolgi.msk.ru/account/1760131382/", 1760131382)</f>
        <v>1760131382</v>
      </c>
      <c r="D3263">
        <v>4232.6400000000003</v>
      </c>
    </row>
    <row r="3264" spans="1:4" x14ac:dyDescent="0.25">
      <c r="A3264" t="s">
        <v>456</v>
      </c>
      <c r="B3264" t="s">
        <v>115</v>
      </c>
      <c r="C3264" s="2">
        <f>HYPERLINK("https://svao.dolgi.msk.ru/account/1760131446/", 1760131446)</f>
        <v>1760131446</v>
      </c>
      <c r="D3264">
        <v>2775.37</v>
      </c>
    </row>
    <row r="3265" spans="1:4" x14ac:dyDescent="0.25">
      <c r="A3265" t="s">
        <v>456</v>
      </c>
      <c r="B3265" t="s">
        <v>24</v>
      </c>
      <c r="C3265" s="2">
        <f>HYPERLINK("https://svao.dolgi.msk.ru/account/1760131462/", 1760131462)</f>
        <v>1760131462</v>
      </c>
      <c r="D3265">
        <v>16672.900000000001</v>
      </c>
    </row>
    <row r="3266" spans="1:4" x14ac:dyDescent="0.25">
      <c r="A3266" t="s">
        <v>458</v>
      </c>
      <c r="B3266" t="s">
        <v>41</v>
      </c>
      <c r="C3266" s="2">
        <f>HYPERLINK("https://svao.dolgi.msk.ru/account/1760129813/", 1760129813)</f>
        <v>1760129813</v>
      </c>
      <c r="D3266">
        <v>6871.68</v>
      </c>
    </row>
    <row r="3267" spans="1:4" x14ac:dyDescent="0.25">
      <c r="A3267" t="s">
        <v>458</v>
      </c>
      <c r="B3267" t="s">
        <v>7</v>
      </c>
      <c r="C3267" s="2">
        <f>HYPERLINK("https://svao.dolgi.msk.ru/account/1760129848/", 1760129848)</f>
        <v>1760129848</v>
      </c>
      <c r="D3267">
        <v>3651.17</v>
      </c>
    </row>
    <row r="3268" spans="1:4" x14ac:dyDescent="0.25">
      <c r="A3268" t="s">
        <v>458</v>
      </c>
      <c r="B3268" t="s">
        <v>102</v>
      </c>
      <c r="C3268" s="2">
        <f>HYPERLINK("https://svao.dolgi.msk.ru/account/1760129872/", 1760129872)</f>
        <v>1760129872</v>
      </c>
      <c r="D3268">
        <v>3706.92</v>
      </c>
    </row>
    <row r="3269" spans="1:4" x14ac:dyDescent="0.25">
      <c r="A3269" t="s">
        <v>458</v>
      </c>
      <c r="B3269" t="s">
        <v>74</v>
      </c>
      <c r="C3269" s="2">
        <f>HYPERLINK("https://svao.dolgi.msk.ru/account/1760129952/", 1760129952)</f>
        <v>1760129952</v>
      </c>
      <c r="D3269">
        <v>3174.54</v>
      </c>
    </row>
    <row r="3270" spans="1:4" x14ac:dyDescent="0.25">
      <c r="A3270" t="s">
        <v>458</v>
      </c>
      <c r="B3270" t="s">
        <v>91</v>
      </c>
      <c r="C3270" s="2">
        <f>HYPERLINK("https://svao.dolgi.msk.ru/account/1760130005/", 1760130005)</f>
        <v>1760130005</v>
      </c>
      <c r="D3270">
        <v>5187.9799999999996</v>
      </c>
    </row>
    <row r="3271" spans="1:4" x14ac:dyDescent="0.25">
      <c r="A3271" t="s">
        <v>458</v>
      </c>
      <c r="B3271" t="s">
        <v>91</v>
      </c>
      <c r="C3271" s="2">
        <f>HYPERLINK("https://svao.dolgi.msk.ru/account/1760130136/", 1760130136)</f>
        <v>1760130136</v>
      </c>
      <c r="D3271">
        <v>1780.56</v>
      </c>
    </row>
    <row r="3272" spans="1:4" x14ac:dyDescent="0.25">
      <c r="A3272" t="s">
        <v>458</v>
      </c>
      <c r="B3272" t="s">
        <v>219</v>
      </c>
      <c r="C3272" s="2">
        <f>HYPERLINK("https://svao.dolgi.msk.ru/account/1760130021/", 1760130021)</f>
        <v>1760130021</v>
      </c>
      <c r="D3272">
        <v>2633.43</v>
      </c>
    </row>
    <row r="3273" spans="1:4" x14ac:dyDescent="0.25">
      <c r="A3273" t="s">
        <v>458</v>
      </c>
      <c r="B3273" t="s">
        <v>14</v>
      </c>
      <c r="C3273" s="2">
        <f>HYPERLINK("https://svao.dolgi.msk.ru/account/1760130072/", 1760130072)</f>
        <v>1760130072</v>
      </c>
      <c r="D3273">
        <v>412.52</v>
      </c>
    </row>
    <row r="3274" spans="1:4" x14ac:dyDescent="0.25">
      <c r="A3274" t="s">
        <v>458</v>
      </c>
      <c r="B3274" t="s">
        <v>16</v>
      </c>
      <c r="C3274" s="2">
        <f>HYPERLINK("https://svao.dolgi.msk.ru/account/1760130152/", 1760130152)</f>
        <v>1760130152</v>
      </c>
      <c r="D3274">
        <v>7437.81</v>
      </c>
    </row>
    <row r="3275" spans="1:4" x14ac:dyDescent="0.25">
      <c r="A3275" t="s">
        <v>458</v>
      </c>
      <c r="B3275" t="s">
        <v>18</v>
      </c>
      <c r="C3275" s="2">
        <f>HYPERLINK("https://svao.dolgi.msk.ru/account/1760130187/", 1760130187)</f>
        <v>1760130187</v>
      </c>
      <c r="D3275">
        <v>3387.41</v>
      </c>
    </row>
    <row r="3276" spans="1:4" x14ac:dyDescent="0.25">
      <c r="A3276" t="s">
        <v>458</v>
      </c>
      <c r="B3276" t="s">
        <v>19</v>
      </c>
      <c r="C3276" s="2">
        <f>HYPERLINK("https://svao.dolgi.msk.ru/account/1760130195/", 1760130195)</f>
        <v>1760130195</v>
      </c>
      <c r="D3276">
        <v>3592.49</v>
      </c>
    </row>
    <row r="3277" spans="1:4" x14ac:dyDescent="0.25">
      <c r="A3277" t="s">
        <v>458</v>
      </c>
      <c r="B3277" t="s">
        <v>76</v>
      </c>
      <c r="C3277" s="2">
        <f>HYPERLINK("https://svao.dolgi.msk.ru/account/1760130232/", 1760130232)</f>
        <v>1760130232</v>
      </c>
      <c r="D3277">
        <v>810.91</v>
      </c>
    </row>
    <row r="3278" spans="1:4" x14ac:dyDescent="0.25">
      <c r="A3278" t="s">
        <v>458</v>
      </c>
      <c r="B3278" t="s">
        <v>92</v>
      </c>
      <c r="C3278" s="2">
        <f>HYPERLINK("https://svao.dolgi.msk.ru/account/1760130259/", 1760130259)</f>
        <v>1760130259</v>
      </c>
      <c r="D3278">
        <v>3379.55</v>
      </c>
    </row>
    <row r="3279" spans="1:4" x14ac:dyDescent="0.25">
      <c r="A3279" t="s">
        <v>458</v>
      </c>
      <c r="B3279" t="s">
        <v>113</v>
      </c>
      <c r="C3279" s="2">
        <f>HYPERLINK("https://svao.dolgi.msk.ru/account/1760130304/", 1760130304)</f>
        <v>1760130304</v>
      </c>
      <c r="D3279">
        <v>7725.06</v>
      </c>
    </row>
    <row r="3280" spans="1:4" x14ac:dyDescent="0.25">
      <c r="A3280" t="s">
        <v>458</v>
      </c>
      <c r="B3280" t="s">
        <v>77</v>
      </c>
      <c r="C3280" s="2">
        <f>HYPERLINK("https://svao.dolgi.msk.ru/account/1760130339/", 1760130339)</f>
        <v>1760130339</v>
      </c>
      <c r="D3280">
        <v>552.02</v>
      </c>
    </row>
    <row r="3281" spans="1:4" x14ac:dyDescent="0.25">
      <c r="A3281" t="s">
        <v>458</v>
      </c>
      <c r="B3281" t="s">
        <v>114</v>
      </c>
      <c r="C3281" s="2">
        <f>HYPERLINK("https://svao.dolgi.msk.ru/account/1760130347/", 1760130347)</f>
        <v>1760130347</v>
      </c>
      <c r="D3281">
        <v>19230.849999999999</v>
      </c>
    </row>
    <row r="3282" spans="1:4" x14ac:dyDescent="0.25">
      <c r="A3282" t="s">
        <v>458</v>
      </c>
      <c r="B3282" t="s">
        <v>78</v>
      </c>
      <c r="C3282" s="2">
        <f>HYPERLINK("https://svao.dolgi.msk.ru/account/1760130355/", 1760130355)</f>
        <v>1760130355</v>
      </c>
      <c r="D3282">
        <v>13130.76</v>
      </c>
    </row>
    <row r="3283" spans="1:4" x14ac:dyDescent="0.25">
      <c r="A3283" t="s">
        <v>458</v>
      </c>
      <c r="B3283" t="s">
        <v>115</v>
      </c>
      <c r="C3283" s="2">
        <f>HYPERLINK("https://svao.dolgi.msk.ru/account/1760130435/", 1760130435)</f>
        <v>1760130435</v>
      </c>
      <c r="D3283">
        <v>1658.59</v>
      </c>
    </row>
    <row r="3284" spans="1:4" x14ac:dyDescent="0.25">
      <c r="A3284" t="s">
        <v>458</v>
      </c>
      <c r="B3284" t="s">
        <v>320</v>
      </c>
      <c r="C3284" s="2">
        <f>HYPERLINK("https://svao.dolgi.msk.ru/account/1760130443/", 1760130443)</f>
        <v>1760130443</v>
      </c>
      <c r="D3284">
        <v>4616.6400000000003</v>
      </c>
    </row>
    <row r="3285" spans="1:4" x14ac:dyDescent="0.25">
      <c r="A3285" t="s">
        <v>458</v>
      </c>
      <c r="B3285" t="s">
        <v>24</v>
      </c>
      <c r="C3285" s="2">
        <f>HYPERLINK("https://svao.dolgi.msk.ru/account/1760130451/", 1760130451)</f>
        <v>1760130451</v>
      </c>
      <c r="D3285">
        <v>2148.7399999999998</v>
      </c>
    </row>
    <row r="3286" spans="1:4" x14ac:dyDescent="0.25">
      <c r="A3286" t="s">
        <v>458</v>
      </c>
      <c r="B3286" t="s">
        <v>314</v>
      </c>
      <c r="C3286" s="2">
        <f>HYPERLINK("https://svao.dolgi.msk.ru/account/1760130478/", 1760130478)</f>
        <v>1760130478</v>
      </c>
      <c r="D3286">
        <v>5113.88</v>
      </c>
    </row>
    <row r="3287" spans="1:4" x14ac:dyDescent="0.25">
      <c r="A3287" t="s">
        <v>458</v>
      </c>
      <c r="B3287" t="s">
        <v>125</v>
      </c>
      <c r="C3287" s="2">
        <f>HYPERLINK("https://svao.dolgi.msk.ru/account/1760130515/", 1760130515)</f>
        <v>1760130515</v>
      </c>
      <c r="D3287">
        <v>4016.85</v>
      </c>
    </row>
    <row r="3288" spans="1:4" x14ac:dyDescent="0.25">
      <c r="A3288" t="s">
        <v>458</v>
      </c>
      <c r="B3288" t="s">
        <v>127</v>
      </c>
      <c r="C3288" s="2">
        <f>HYPERLINK("https://svao.dolgi.msk.ru/account/1760130566/", 1760130566)</f>
        <v>1760130566</v>
      </c>
      <c r="D3288">
        <v>2356.91</v>
      </c>
    </row>
    <row r="3289" spans="1:4" x14ac:dyDescent="0.25">
      <c r="A3289" t="s">
        <v>458</v>
      </c>
      <c r="B3289" t="s">
        <v>81</v>
      </c>
      <c r="C3289" s="2">
        <f>HYPERLINK("https://svao.dolgi.msk.ru/account/1760130574/", 1760130574)</f>
        <v>1760130574</v>
      </c>
      <c r="D3289">
        <v>5383.49</v>
      </c>
    </row>
    <row r="3290" spans="1:4" x14ac:dyDescent="0.25">
      <c r="A3290" t="s">
        <v>458</v>
      </c>
      <c r="B3290" t="s">
        <v>82</v>
      </c>
      <c r="C3290" s="2">
        <f>HYPERLINK("https://svao.dolgi.msk.ru/account/1760130611/", 1760130611)</f>
        <v>1760130611</v>
      </c>
      <c r="D3290">
        <v>6817.35</v>
      </c>
    </row>
    <row r="3291" spans="1:4" x14ac:dyDescent="0.25">
      <c r="A3291" t="s">
        <v>458</v>
      </c>
      <c r="B3291" t="s">
        <v>133</v>
      </c>
      <c r="C3291" s="2">
        <f>HYPERLINK("https://svao.dolgi.msk.ru/account/1760130697/", 1760130697)</f>
        <v>1760130697</v>
      </c>
      <c r="D3291">
        <v>3244.48</v>
      </c>
    </row>
    <row r="3292" spans="1:4" x14ac:dyDescent="0.25">
      <c r="A3292" t="s">
        <v>458</v>
      </c>
      <c r="B3292" t="s">
        <v>28</v>
      </c>
      <c r="C3292" s="2">
        <f>HYPERLINK("https://svao.dolgi.msk.ru/account/1760130793/", 1760130793)</f>
        <v>1760130793</v>
      </c>
      <c r="D3292">
        <v>348.5</v>
      </c>
    </row>
    <row r="3293" spans="1:4" x14ac:dyDescent="0.25">
      <c r="A3293" t="s">
        <v>458</v>
      </c>
      <c r="B3293" t="s">
        <v>29</v>
      </c>
      <c r="C3293" s="2">
        <f>HYPERLINK("https://svao.dolgi.msk.ru/account/1760130806/", 1760130806)</f>
        <v>1760130806</v>
      </c>
      <c r="D3293">
        <v>492625.36</v>
      </c>
    </row>
    <row r="3294" spans="1:4" x14ac:dyDescent="0.25">
      <c r="A3294" t="s">
        <v>458</v>
      </c>
      <c r="B3294" t="s">
        <v>97</v>
      </c>
      <c r="C3294" s="2">
        <f>HYPERLINK("https://svao.dolgi.msk.ru/account/1760130857/", 1760130857)</f>
        <v>1760130857</v>
      </c>
      <c r="D3294">
        <v>3163.94</v>
      </c>
    </row>
    <row r="3295" spans="1:4" x14ac:dyDescent="0.25">
      <c r="A3295" t="s">
        <v>459</v>
      </c>
      <c r="B3295" t="s">
        <v>5</v>
      </c>
      <c r="C3295" s="2">
        <f>HYPERLINK("https://svao.dolgi.msk.ru/account/1760114101/", 1760114101)</f>
        <v>1760114101</v>
      </c>
      <c r="D3295">
        <v>6512.37</v>
      </c>
    </row>
    <row r="3296" spans="1:4" x14ac:dyDescent="0.25">
      <c r="A3296" t="s">
        <v>459</v>
      </c>
      <c r="B3296" t="s">
        <v>101</v>
      </c>
      <c r="C3296" s="2">
        <f>HYPERLINK("https://svao.dolgi.msk.ru/account/1760114136/", 1760114136)</f>
        <v>1760114136</v>
      </c>
      <c r="D3296">
        <v>219.64</v>
      </c>
    </row>
    <row r="3297" spans="1:4" x14ac:dyDescent="0.25">
      <c r="A3297" t="s">
        <v>459</v>
      </c>
      <c r="B3297" t="s">
        <v>9</v>
      </c>
      <c r="C3297" s="2">
        <f>HYPERLINK("https://svao.dolgi.msk.ru/account/1760114232/", 1760114232)</f>
        <v>1760114232</v>
      </c>
      <c r="D3297">
        <v>69770.080000000002</v>
      </c>
    </row>
    <row r="3298" spans="1:4" x14ac:dyDescent="0.25">
      <c r="A3298" t="s">
        <v>459</v>
      </c>
      <c r="B3298" t="s">
        <v>106</v>
      </c>
      <c r="C3298" s="2">
        <f>HYPERLINK("https://svao.dolgi.msk.ru/account/1760114347/", 1760114347)</f>
        <v>1760114347</v>
      </c>
      <c r="D3298">
        <v>2066.0300000000002</v>
      </c>
    </row>
    <row r="3299" spans="1:4" x14ac:dyDescent="0.25">
      <c r="A3299" t="s">
        <v>459</v>
      </c>
      <c r="B3299" t="s">
        <v>107</v>
      </c>
      <c r="C3299" s="2">
        <f>HYPERLINK("https://svao.dolgi.msk.ru/account/1760114355/", 1760114355)</f>
        <v>1760114355</v>
      </c>
      <c r="D3299">
        <v>3615.17</v>
      </c>
    </row>
    <row r="3300" spans="1:4" x14ac:dyDescent="0.25">
      <c r="A3300" t="s">
        <v>459</v>
      </c>
      <c r="B3300" t="s">
        <v>15</v>
      </c>
      <c r="C3300" s="2">
        <f>HYPERLINK("https://svao.dolgi.msk.ru/account/1760114363/", 1760114363)</f>
        <v>1760114363</v>
      </c>
      <c r="D3300">
        <v>18040.37</v>
      </c>
    </row>
    <row r="3301" spans="1:4" x14ac:dyDescent="0.25">
      <c r="A3301" t="s">
        <v>459</v>
      </c>
      <c r="B3301" t="s">
        <v>17</v>
      </c>
      <c r="C3301" s="2">
        <f>HYPERLINK("https://svao.dolgi.msk.ru/account/1760114419/", 1760114419)</f>
        <v>1760114419</v>
      </c>
      <c r="D3301">
        <v>25071.31</v>
      </c>
    </row>
    <row r="3302" spans="1:4" x14ac:dyDescent="0.25">
      <c r="A3302" t="s">
        <v>459</v>
      </c>
      <c r="B3302" t="s">
        <v>109</v>
      </c>
      <c r="C3302" s="2">
        <f>HYPERLINK("https://svao.dolgi.msk.ru/account/1760114443/", 1760114443)</f>
        <v>1760114443</v>
      </c>
      <c r="D3302">
        <v>9646.1299999999992</v>
      </c>
    </row>
    <row r="3303" spans="1:4" x14ac:dyDescent="0.25">
      <c r="A3303" t="s">
        <v>459</v>
      </c>
      <c r="B3303" t="s">
        <v>20</v>
      </c>
      <c r="C3303" s="2">
        <f>HYPERLINK("https://svao.dolgi.msk.ru/account/1760114478/", 1760114478)</f>
        <v>1760114478</v>
      </c>
      <c r="D3303">
        <v>889.21</v>
      </c>
    </row>
    <row r="3304" spans="1:4" x14ac:dyDescent="0.25">
      <c r="A3304" t="s">
        <v>459</v>
      </c>
      <c r="B3304" t="s">
        <v>111</v>
      </c>
      <c r="C3304" s="2">
        <f>HYPERLINK("https://svao.dolgi.msk.ru/account/1760114515/", 1760114515)</f>
        <v>1760114515</v>
      </c>
      <c r="D3304">
        <v>3399.99</v>
      </c>
    </row>
    <row r="3305" spans="1:4" x14ac:dyDescent="0.25">
      <c r="A3305" t="s">
        <v>459</v>
      </c>
      <c r="B3305" t="s">
        <v>94</v>
      </c>
      <c r="C3305" s="2">
        <f>HYPERLINK("https://svao.dolgi.msk.ru/account/1760114523/", 1760114523)</f>
        <v>1760114523</v>
      </c>
      <c r="D3305">
        <v>9071.33</v>
      </c>
    </row>
    <row r="3306" spans="1:4" x14ac:dyDescent="0.25">
      <c r="A3306" t="s">
        <v>459</v>
      </c>
      <c r="B3306" t="s">
        <v>112</v>
      </c>
      <c r="C3306" s="2">
        <f>HYPERLINK("https://svao.dolgi.msk.ru/account/1760114531/", 1760114531)</f>
        <v>1760114531</v>
      </c>
      <c r="D3306">
        <v>2797.04</v>
      </c>
    </row>
    <row r="3307" spans="1:4" x14ac:dyDescent="0.25">
      <c r="A3307" t="s">
        <v>459</v>
      </c>
      <c r="B3307" t="s">
        <v>113</v>
      </c>
      <c r="C3307" s="2">
        <f>HYPERLINK("https://svao.dolgi.msk.ru/account/1760114558/", 1760114558)</f>
        <v>1760114558</v>
      </c>
      <c r="D3307">
        <v>2177.96</v>
      </c>
    </row>
    <row r="3308" spans="1:4" x14ac:dyDescent="0.25">
      <c r="A3308" t="s">
        <v>459</v>
      </c>
      <c r="B3308" t="s">
        <v>77</v>
      </c>
      <c r="C3308" s="2">
        <f>HYPERLINK("https://svao.dolgi.msk.ru/account/1760114574/", 1760114574)</f>
        <v>1760114574</v>
      </c>
      <c r="D3308">
        <v>2817.04</v>
      </c>
    </row>
    <row r="3309" spans="1:4" x14ac:dyDescent="0.25">
      <c r="A3309" t="s">
        <v>459</v>
      </c>
      <c r="B3309" t="s">
        <v>22</v>
      </c>
      <c r="C3309" s="2">
        <f>HYPERLINK("https://svao.dolgi.msk.ru/account/1760114611/", 1760114611)</f>
        <v>1760114611</v>
      </c>
      <c r="D3309">
        <v>5068.17</v>
      </c>
    </row>
    <row r="3310" spans="1:4" x14ac:dyDescent="0.25">
      <c r="A3310" t="s">
        <v>459</v>
      </c>
      <c r="B3310" t="s">
        <v>23</v>
      </c>
      <c r="C3310" s="2">
        <f>HYPERLINK("https://svao.dolgi.msk.ru/account/1760114646/", 1760114646)</f>
        <v>1760114646</v>
      </c>
      <c r="D3310">
        <v>4325.5600000000004</v>
      </c>
    </row>
    <row r="3311" spans="1:4" x14ac:dyDescent="0.25">
      <c r="A3311" t="s">
        <v>459</v>
      </c>
      <c r="B3311" t="s">
        <v>314</v>
      </c>
      <c r="C3311" s="2">
        <f>HYPERLINK("https://svao.dolgi.msk.ru/account/1760114726/", 1760114726)</f>
        <v>1760114726</v>
      </c>
      <c r="D3311">
        <v>7213.09</v>
      </c>
    </row>
    <row r="3312" spans="1:4" x14ac:dyDescent="0.25">
      <c r="A3312" t="s">
        <v>459</v>
      </c>
      <c r="B3312" t="s">
        <v>242</v>
      </c>
      <c r="C3312" s="2">
        <f>HYPERLINK("https://svao.dolgi.msk.ru/account/1760114734/", 1760114734)</f>
        <v>1760114734</v>
      </c>
      <c r="D3312">
        <v>16924.11</v>
      </c>
    </row>
    <row r="3313" spans="1:4" x14ac:dyDescent="0.25">
      <c r="A3313" t="s">
        <v>459</v>
      </c>
      <c r="B3313" t="s">
        <v>95</v>
      </c>
      <c r="C3313" s="2">
        <f>HYPERLINK("https://svao.dolgi.msk.ru/account/1760114742/", 1760114742)</f>
        <v>1760114742</v>
      </c>
      <c r="D3313">
        <v>5345.88</v>
      </c>
    </row>
    <row r="3314" spans="1:4" x14ac:dyDescent="0.25">
      <c r="A3314" t="s">
        <v>459</v>
      </c>
      <c r="B3314" t="s">
        <v>125</v>
      </c>
      <c r="C3314" s="2">
        <f>HYPERLINK("https://svao.dolgi.msk.ru/account/1760114777/", 1760114777)</f>
        <v>1760114777</v>
      </c>
      <c r="D3314">
        <v>4919.8900000000003</v>
      </c>
    </row>
    <row r="3315" spans="1:4" x14ac:dyDescent="0.25">
      <c r="A3315" t="s">
        <v>459</v>
      </c>
      <c r="B3315" t="s">
        <v>118</v>
      </c>
      <c r="C3315" s="2">
        <f>HYPERLINK("https://svao.dolgi.msk.ru/account/1760114806/", 1760114806)</f>
        <v>1760114806</v>
      </c>
      <c r="D3315">
        <v>2673.87</v>
      </c>
    </row>
    <row r="3316" spans="1:4" x14ac:dyDescent="0.25">
      <c r="A3316" t="s">
        <v>460</v>
      </c>
      <c r="B3316" t="s">
        <v>41</v>
      </c>
      <c r="C3316" s="2">
        <f>HYPERLINK("https://svao.dolgi.msk.ru/account/1760114873/", 1760114873)</f>
        <v>1760114873</v>
      </c>
      <c r="D3316">
        <v>2206.81</v>
      </c>
    </row>
    <row r="3317" spans="1:4" x14ac:dyDescent="0.25">
      <c r="A3317" t="s">
        <v>460</v>
      </c>
      <c r="B3317" t="s">
        <v>5</v>
      </c>
      <c r="C3317" s="2">
        <f>HYPERLINK("https://svao.dolgi.msk.ru/account/1760114881/", 1760114881)</f>
        <v>1760114881</v>
      </c>
      <c r="D3317">
        <v>115825.4</v>
      </c>
    </row>
    <row r="3318" spans="1:4" x14ac:dyDescent="0.25">
      <c r="A3318" t="s">
        <v>460</v>
      </c>
      <c r="B3318" t="s">
        <v>141</v>
      </c>
      <c r="C3318" s="2">
        <f>HYPERLINK("https://svao.dolgi.msk.ru/account/1760114937/", 1760114937)</f>
        <v>1760114937</v>
      </c>
      <c r="D3318">
        <v>596.83000000000004</v>
      </c>
    </row>
    <row r="3319" spans="1:4" x14ac:dyDescent="0.25">
      <c r="A3319" t="s">
        <v>460</v>
      </c>
      <c r="B3319" t="s">
        <v>102</v>
      </c>
      <c r="C3319" s="2">
        <f>HYPERLINK("https://svao.dolgi.msk.ru/account/1760114945/", 1760114945)</f>
        <v>1760114945</v>
      </c>
      <c r="D3319">
        <v>2872.94</v>
      </c>
    </row>
    <row r="3320" spans="1:4" x14ac:dyDescent="0.25">
      <c r="A3320" t="s">
        <v>460</v>
      </c>
      <c r="B3320" t="s">
        <v>9</v>
      </c>
      <c r="C3320" s="2">
        <f>HYPERLINK("https://svao.dolgi.msk.ru/account/1760115024/", 1760115024)</f>
        <v>1760115024</v>
      </c>
      <c r="D3320">
        <v>5028.66</v>
      </c>
    </row>
    <row r="3321" spans="1:4" x14ac:dyDescent="0.25">
      <c r="A3321" t="s">
        <v>460</v>
      </c>
      <c r="B3321" t="s">
        <v>75</v>
      </c>
      <c r="C3321" s="2">
        <f>HYPERLINK("https://svao.dolgi.msk.ru/account/1760115032/", 1760115032)</f>
        <v>1760115032</v>
      </c>
      <c r="D3321">
        <v>143192.71</v>
      </c>
    </row>
    <row r="3322" spans="1:4" x14ac:dyDescent="0.25">
      <c r="A3322" t="s">
        <v>460</v>
      </c>
      <c r="B3322" t="s">
        <v>219</v>
      </c>
      <c r="C3322" s="2">
        <f>HYPERLINK("https://svao.dolgi.msk.ru/account/1760115075/", 1760115075)</f>
        <v>1760115075</v>
      </c>
      <c r="D3322">
        <v>6033.97</v>
      </c>
    </row>
    <row r="3323" spans="1:4" x14ac:dyDescent="0.25">
      <c r="A3323" t="s">
        <v>460</v>
      </c>
      <c r="B3323" t="s">
        <v>14</v>
      </c>
      <c r="C3323" s="2">
        <f>HYPERLINK("https://svao.dolgi.msk.ru/account/1760115112/", 1760115112)</f>
        <v>1760115112</v>
      </c>
      <c r="D3323">
        <v>2465.69</v>
      </c>
    </row>
    <row r="3324" spans="1:4" x14ac:dyDescent="0.25">
      <c r="A3324" t="s">
        <v>460</v>
      </c>
      <c r="B3324" t="s">
        <v>107</v>
      </c>
      <c r="C3324" s="2">
        <f>HYPERLINK("https://svao.dolgi.msk.ru/account/1760115147/", 1760115147)</f>
        <v>1760115147</v>
      </c>
      <c r="D3324">
        <v>3578.62</v>
      </c>
    </row>
    <row r="3325" spans="1:4" x14ac:dyDescent="0.25">
      <c r="A3325" t="s">
        <v>460</v>
      </c>
      <c r="B3325" t="s">
        <v>109</v>
      </c>
      <c r="C3325" s="2">
        <f>HYPERLINK("https://svao.dolgi.msk.ru/account/1760115235/", 1760115235)</f>
        <v>1760115235</v>
      </c>
      <c r="D3325">
        <v>1058.02</v>
      </c>
    </row>
    <row r="3326" spans="1:4" x14ac:dyDescent="0.25">
      <c r="A3326" t="s">
        <v>460</v>
      </c>
      <c r="B3326" t="s">
        <v>76</v>
      </c>
      <c r="C3326" s="2">
        <f>HYPERLINK("https://svao.dolgi.msk.ru/account/1760115278/", 1760115278)</f>
        <v>1760115278</v>
      </c>
      <c r="D3326">
        <v>11349.09</v>
      </c>
    </row>
    <row r="3327" spans="1:4" x14ac:dyDescent="0.25">
      <c r="A3327" t="s">
        <v>460</v>
      </c>
      <c r="B3327" t="s">
        <v>93</v>
      </c>
      <c r="C3327" s="2">
        <f>HYPERLINK("https://svao.dolgi.msk.ru/account/1760115294/", 1760115294)</f>
        <v>1760115294</v>
      </c>
      <c r="D3327">
        <v>3753.83</v>
      </c>
    </row>
    <row r="3328" spans="1:4" x14ac:dyDescent="0.25">
      <c r="A3328" t="s">
        <v>460</v>
      </c>
      <c r="B3328" t="s">
        <v>113</v>
      </c>
      <c r="C3328" s="2">
        <f>HYPERLINK("https://svao.dolgi.msk.ru/account/1760115331/", 1760115331)</f>
        <v>1760115331</v>
      </c>
      <c r="D3328">
        <v>1743.75</v>
      </c>
    </row>
    <row r="3329" spans="1:4" x14ac:dyDescent="0.25">
      <c r="A3329" t="s">
        <v>460</v>
      </c>
      <c r="B3329" t="s">
        <v>78</v>
      </c>
      <c r="C3329" s="2">
        <f>HYPERLINK("https://svao.dolgi.msk.ru/account/1760115382/", 1760115382)</f>
        <v>1760115382</v>
      </c>
      <c r="D3329">
        <v>2078.11</v>
      </c>
    </row>
    <row r="3330" spans="1:4" x14ac:dyDescent="0.25">
      <c r="A3330" t="s">
        <v>460</v>
      </c>
      <c r="B3330" t="s">
        <v>23</v>
      </c>
      <c r="C3330" s="2">
        <f>HYPERLINK("https://svao.dolgi.msk.ru/account/1760115438/", 1760115438)</f>
        <v>1760115438</v>
      </c>
      <c r="D3330">
        <v>3561.55</v>
      </c>
    </row>
    <row r="3331" spans="1:4" x14ac:dyDescent="0.25">
      <c r="A3331" t="s">
        <v>460</v>
      </c>
      <c r="B3331" t="s">
        <v>115</v>
      </c>
      <c r="C3331" s="2">
        <f>HYPERLINK("https://svao.dolgi.msk.ru/account/1760115462/", 1760115462)</f>
        <v>1760115462</v>
      </c>
      <c r="D3331">
        <v>23585.5</v>
      </c>
    </row>
    <row r="3332" spans="1:4" x14ac:dyDescent="0.25">
      <c r="A3332" t="s">
        <v>460</v>
      </c>
      <c r="B3332" t="s">
        <v>24</v>
      </c>
      <c r="C3332" s="2">
        <f>HYPERLINK("https://svao.dolgi.msk.ru/account/1760115497/", 1760115497)</f>
        <v>1760115497</v>
      </c>
      <c r="D3332">
        <v>4011.59</v>
      </c>
    </row>
    <row r="3333" spans="1:4" x14ac:dyDescent="0.25">
      <c r="A3333" t="s">
        <v>460</v>
      </c>
      <c r="B3333" t="s">
        <v>242</v>
      </c>
      <c r="C3333" s="2">
        <f>HYPERLINK("https://svao.dolgi.msk.ru/account/1760115526/", 1760115526)</f>
        <v>1760115526</v>
      </c>
      <c r="D3333">
        <v>5726.92</v>
      </c>
    </row>
    <row r="3334" spans="1:4" x14ac:dyDescent="0.25">
      <c r="A3334" t="s">
        <v>460</v>
      </c>
      <c r="B3334" t="s">
        <v>131</v>
      </c>
      <c r="C3334" s="2">
        <f>HYPERLINK("https://svao.dolgi.msk.ru/account/1760115542/", 1760115542)</f>
        <v>1760115542</v>
      </c>
      <c r="D3334">
        <v>3213.01</v>
      </c>
    </row>
    <row r="3335" spans="1:4" x14ac:dyDescent="0.25">
      <c r="A3335" t="s">
        <v>460</v>
      </c>
      <c r="B3335" t="s">
        <v>126</v>
      </c>
      <c r="C3335" s="2">
        <f>HYPERLINK("https://svao.dolgi.msk.ru/account/1760115577/", 1760115577)</f>
        <v>1760115577</v>
      </c>
      <c r="D3335">
        <v>93305.25</v>
      </c>
    </row>
    <row r="3336" spans="1:4" x14ac:dyDescent="0.25">
      <c r="A3336" t="s">
        <v>460</v>
      </c>
      <c r="B3336" t="s">
        <v>127</v>
      </c>
      <c r="C3336" s="2">
        <f>HYPERLINK("https://svao.dolgi.msk.ru/account/1760115606/", 1760115606)</f>
        <v>1760115606</v>
      </c>
      <c r="D3336">
        <v>7898.76</v>
      </c>
    </row>
    <row r="3337" spans="1:4" x14ac:dyDescent="0.25">
      <c r="A3337" t="s">
        <v>461</v>
      </c>
      <c r="B3337" t="s">
        <v>5</v>
      </c>
      <c r="C3337" s="2">
        <f>HYPERLINK("https://svao.dolgi.msk.ru/account/1760115673/", 1760115673)</f>
        <v>1760115673</v>
      </c>
      <c r="D3337">
        <v>3063.89</v>
      </c>
    </row>
    <row r="3338" spans="1:4" x14ac:dyDescent="0.25">
      <c r="A3338" t="s">
        <v>461</v>
      </c>
      <c r="B3338" t="s">
        <v>103</v>
      </c>
      <c r="C3338" s="2">
        <f>HYPERLINK("https://svao.dolgi.msk.ru/account/1760115745/", 1760115745)</f>
        <v>1760115745</v>
      </c>
      <c r="D3338">
        <v>71708.38</v>
      </c>
    </row>
    <row r="3339" spans="1:4" x14ac:dyDescent="0.25">
      <c r="A3339" t="s">
        <v>461</v>
      </c>
      <c r="B3339" t="s">
        <v>9</v>
      </c>
      <c r="C3339" s="2">
        <f>HYPERLINK("https://svao.dolgi.msk.ru/account/1760115817/", 1760115817)</f>
        <v>1760115817</v>
      </c>
      <c r="D3339">
        <v>5184.1400000000003</v>
      </c>
    </row>
    <row r="3340" spans="1:4" x14ac:dyDescent="0.25">
      <c r="A3340" t="s">
        <v>461</v>
      </c>
      <c r="B3340" t="s">
        <v>91</v>
      </c>
      <c r="C3340" s="2">
        <f>HYPERLINK("https://svao.dolgi.msk.ru/account/1760115833/", 1760115833)</f>
        <v>1760115833</v>
      </c>
      <c r="D3340">
        <v>2045.8</v>
      </c>
    </row>
    <row r="3341" spans="1:4" x14ac:dyDescent="0.25">
      <c r="A3341" t="s">
        <v>461</v>
      </c>
      <c r="B3341" t="s">
        <v>219</v>
      </c>
      <c r="C3341" s="2">
        <f>HYPERLINK("https://svao.dolgi.msk.ru/account/1760115868/", 1760115868)</f>
        <v>1760115868</v>
      </c>
      <c r="D3341">
        <v>23461.37</v>
      </c>
    </row>
    <row r="3342" spans="1:4" x14ac:dyDescent="0.25">
      <c r="A3342" t="s">
        <v>461</v>
      </c>
      <c r="B3342" t="s">
        <v>13</v>
      </c>
      <c r="C3342" s="2">
        <f>HYPERLINK("https://svao.dolgi.msk.ru/account/1760115892/", 1760115892)</f>
        <v>1760115892</v>
      </c>
      <c r="D3342">
        <v>4371.58</v>
      </c>
    </row>
    <row r="3343" spans="1:4" x14ac:dyDescent="0.25">
      <c r="A3343" t="s">
        <v>461</v>
      </c>
      <c r="B3343" t="s">
        <v>14</v>
      </c>
      <c r="C3343" s="2">
        <f>HYPERLINK("https://svao.dolgi.msk.ru/account/1760115905/", 1760115905)</f>
        <v>1760115905</v>
      </c>
      <c r="D3343">
        <v>3952.46</v>
      </c>
    </row>
    <row r="3344" spans="1:4" x14ac:dyDescent="0.25">
      <c r="A3344" t="s">
        <v>461</v>
      </c>
      <c r="B3344" t="s">
        <v>108</v>
      </c>
      <c r="C3344" s="2">
        <f>HYPERLINK("https://svao.dolgi.msk.ru/account/1760115956/", 1760115956)</f>
        <v>1760115956</v>
      </c>
      <c r="D3344">
        <v>3419.21</v>
      </c>
    </row>
    <row r="3345" spans="1:4" x14ac:dyDescent="0.25">
      <c r="A3345" t="s">
        <v>461</v>
      </c>
      <c r="B3345" t="s">
        <v>17</v>
      </c>
      <c r="C3345" s="2">
        <f>HYPERLINK("https://svao.dolgi.msk.ru/account/1760115972/", 1760115972)</f>
        <v>1760115972</v>
      </c>
      <c r="D3345">
        <v>791.9</v>
      </c>
    </row>
    <row r="3346" spans="1:4" x14ac:dyDescent="0.25">
      <c r="A3346" t="s">
        <v>461</v>
      </c>
      <c r="B3346" t="s">
        <v>18</v>
      </c>
      <c r="C3346" s="2">
        <f>HYPERLINK("https://svao.dolgi.msk.ru/account/1760115999/", 1760115999)</f>
        <v>1760115999</v>
      </c>
      <c r="D3346">
        <v>2818.24</v>
      </c>
    </row>
    <row r="3347" spans="1:4" x14ac:dyDescent="0.25">
      <c r="A3347" t="s">
        <v>461</v>
      </c>
      <c r="B3347" t="s">
        <v>76</v>
      </c>
      <c r="C3347" s="2">
        <f>HYPERLINK("https://svao.dolgi.msk.ru/account/1760116051/", 1760116051)</f>
        <v>1760116051</v>
      </c>
      <c r="D3347">
        <v>5459.83</v>
      </c>
    </row>
    <row r="3348" spans="1:4" x14ac:dyDescent="0.25">
      <c r="A3348" t="s">
        <v>461</v>
      </c>
      <c r="B3348" t="s">
        <v>112</v>
      </c>
      <c r="C3348" s="2">
        <f>HYPERLINK("https://svao.dolgi.msk.ru/account/1760116115/", 1760116115)</f>
        <v>1760116115</v>
      </c>
      <c r="D3348">
        <v>118935.73</v>
      </c>
    </row>
    <row r="3349" spans="1:4" x14ac:dyDescent="0.25">
      <c r="A3349" t="s">
        <v>461</v>
      </c>
      <c r="B3349" t="s">
        <v>113</v>
      </c>
      <c r="C3349" s="2">
        <f>HYPERLINK("https://svao.dolgi.msk.ru/account/1760116123/", 1760116123)</f>
        <v>1760116123</v>
      </c>
      <c r="D3349">
        <v>113324.19</v>
      </c>
    </row>
    <row r="3350" spans="1:4" x14ac:dyDescent="0.25">
      <c r="A3350" t="s">
        <v>461</v>
      </c>
      <c r="B3350" t="s">
        <v>78</v>
      </c>
      <c r="C3350" s="2">
        <f>HYPERLINK("https://svao.dolgi.msk.ru/account/1760116174/", 1760116174)</f>
        <v>1760116174</v>
      </c>
      <c r="D3350">
        <v>375.86</v>
      </c>
    </row>
    <row r="3351" spans="1:4" x14ac:dyDescent="0.25">
      <c r="A3351" t="s">
        <v>461</v>
      </c>
      <c r="B3351" t="s">
        <v>23</v>
      </c>
      <c r="C3351" s="2">
        <f>HYPERLINK("https://svao.dolgi.msk.ru/account/1760116211/", 1760116211)</f>
        <v>1760116211</v>
      </c>
      <c r="D3351">
        <v>5563.25</v>
      </c>
    </row>
    <row r="3352" spans="1:4" x14ac:dyDescent="0.25">
      <c r="A3352" t="s">
        <v>461</v>
      </c>
      <c r="B3352" t="s">
        <v>320</v>
      </c>
      <c r="C3352" s="2">
        <f>HYPERLINK("https://svao.dolgi.msk.ru/account/1760116262/", 1760116262)</f>
        <v>1760116262</v>
      </c>
      <c r="D3352">
        <v>3999.34</v>
      </c>
    </row>
    <row r="3353" spans="1:4" x14ac:dyDescent="0.25">
      <c r="A3353" t="s">
        <v>461</v>
      </c>
      <c r="B3353" t="s">
        <v>24</v>
      </c>
      <c r="C3353" s="2">
        <f>HYPERLINK("https://svao.dolgi.msk.ru/account/1760116289/", 1760116289)</f>
        <v>1760116289</v>
      </c>
      <c r="D3353">
        <v>6505.6</v>
      </c>
    </row>
    <row r="3354" spans="1:4" x14ac:dyDescent="0.25">
      <c r="A3354" t="s">
        <v>461</v>
      </c>
      <c r="B3354" t="s">
        <v>131</v>
      </c>
      <c r="C3354" s="2">
        <f>HYPERLINK("https://svao.dolgi.msk.ru/account/1760116334/", 1760116334)</f>
        <v>1760116334</v>
      </c>
      <c r="D3354">
        <v>2415.61</v>
      </c>
    </row>
    <row r="3355" spans="1:4" x14ac:dyDescent="0.25">
      <c r="A3355" t="s">
        <v>461</v>
      </c>
      <c r="B3355" t="s">
        <v>118</v>
      </c>
      <c r="C3355" s="2">
        <f>HYPERLINK("https://svao.dolgi.msk.ru/account/1760116385/", 1760116385)</f>
        <v>1760116385</v>
      </c>
      <c r="D3355">
        <v>3912.33</v>
      </c>
    </row>
    <row r="3356" spans="1:4" x14ac:dyDescent="0.25">
      <c r="A3356" t="s">
        <v>461</v>
      </c>
      <c r="B3356" t="s">
        <v>127</v>
      </c>
      <c r="C3356" s="2">
        <f>HYPERLINK("https://svao.dolgi.msk.ru/account/1760116393/", 1760116393)</f>
        <v>1760116393</v>
      </c>
      <c r="D3356">
        <v>3827.36</v>
      </c>
    </row>
    <row r="3357" spans="1:4" x14ac:dyDescent="0.25">
      <c r="A3357" t="s">
        <v>462</v>
      </c>
      <c r="B3357" t="s">
        <v>7</v>
      </c>
      <c r="C3357" s="2">
        <f>HYPERLINK("https://svao.dolgi.msk.ru/account/1760116473/", 1760116473)</f>
        <v>1760116473</v>
      </c>
      <c r="D3357">
        <v>4305.59</v>
      </c>
    </row>
    <row r="3358" spans="1:4" x14ac:dyDescent="0.25">
      <c r="A3358" t="s">
        <v>462</v>
      </c>
      <c r="B3358" t="s">
        <v>102</v>
      </c>
      <c r="C3358" s="2">
        <f>HYPERLINK("https://svao.dolgi.msk.ru/account/1760116529/", 1760116529)</f>
        <v>1760116529</v>
      </c>
      <c r="D3358">
        <v>4599.05</v>
      </c>
    </row>
    <row r="3359" spans="1:4" x14ac:dyDescent="0.25">
      <c r="A3359" t="s">
        <v>462</v>
      </c>
      <c r="B3359" t="s">
        <v>91</v>
      </c>
      <c r="C3359" s="2">
        <f>HYPERLINK("https://svao.dolgi.msk.ru/account/1760116625/", 1760116625)</f>
        <v>1760116625</v>
      </c>
      <c r="D3359">
        <v>5012.96</v>
      </c>
    </row>
    <row r="3360" spans="1:4" x14ac:dyDescent="0.25">
      <c r="A3360" t="s">
        <v>462</v>
      </c>
      <c r="B3360" t="s">
        <v>10</v>
      </c>
      <c r="C3360" s="2">
        <f>HYPERLINK("https://svao.dolgi.msk.ru/account/1760116633/", 1760116633)</f>
        <v>1760116633</v>
      </c>
      <c r="D3360">
        <v>5274.72</v>
      </c>
    </row>
    <row r="3361" spans="1:4" x14ac:dyDescent="0.25">
      <c r="A3361" t="s">
        <v>462</v>
      </c>
      <c r="B3361" t="s">
        <v>107</v>
      </c>
      <c r="C3361" s="2">
        <f>HYPERLINK("https://svao.dolgi.msk.ru/account/1760116713/", 1760116713)</f>
        <v>1760116713</v>
      </c>
      <c r="D3361">
        <v>5581.91</v>
      </c>
    </row>
    <row r="3362" spans="1:4" x14ac:dyDescent="0.25">
      <c r="A3362" t="s">
        <v>462</v>
      </c>
      <c r="B3362" t="s">
        <v>15</v>
      </c>
      <c r="C3362" s="2">
        <f>HYPERLINK("https://svao.dolgi.msk.ru/account/1760116721/", 1760116721)</f>
        <v>1760116721</v>
      </c>
      <c r="D3362">
        <v>4191.1099999999997</v>
      </c>
    </row>
    <row r="3363" spans="1:4" x14ac:dyDescent="0.25">
      <c r="A3363" t="s">
        <v>462</v>
      </c>
      <c r="B3363" t="s">
        <v>110</v>
      </c>
      <c r="C3363" s="2">
        <f>HYPERLINK("https://svao.dolgi.msk.ru/account/1760116828/", 1760116828)</f>
        <v>1760116828</v>
      </c>
      <c r="D3363">
        <v>3606.25</v>
      </c>
    </row>
    <row r="3364" spans="1:4" x14ac:dyDescent="0.25">
      <c r="A3364" t="s">
        <v>462</v>
      </c>
      <c r="B3364" t="s">
        <v>76</v>
      </c>
      <c r="C3364" s="2">
        <f>HYPERLINK("https://svao.dolgi.msk.ru/account/1760116844/", 1760116844)</f>
        <v>1760116844</v>
      </c>
      <c r="D3364">
        <v>14949.5</v>
      </c>
    </row>
    <row r="3365" spans="1:4" x14ac:dyDescent="0.25">
      <c r="A3365" t="s">
        <v>462</v>
      </c>
      <c r="B3365" t="s">
        <v>94</v>
      </c>
      <c r="C3365" s="2">
        <f>HYPERLINK("https://svao.dolgi.msk.ru/account/1760116895/", 1760116895)</f>
        <v>1760116895</v>
      </c>
      <c r="D3365">
        <v>4078.55</v>
      </c>
    </row>
    <row r="3366" spans="1:4" x14ac:dyDescent="0.25">
      <c r="A3366" t="s">
        <v>462</v>
      </c>
      <c r="B3366" t="s">
        <v>22</v>
      </c>
      <c r="C3366" s="2">
        <f>HYPERLINK("https://svao.dolgi.msk.ru/account/1760116975/", 1760116975)</f>
        <v>1760116975</v>
      </c>
      <c r="D3366">
        <v>6640.05</v>
      </c>
    </row>
    <row r="3367" spans="1:4" x14ac:dyDescent="0.25">
      <c r="A3367" t="s">
        <v>462</v>
      </c>
      <c r="B3367" t="s">
        <v>124</v>
      </c>
      <c r="C3367" s="2">
        <f>HYPERLINK("https://svao.dolgi.msk.ru/account/1760117003/", 1760117003)</f>
        <v>1760117003</v>
      </c>
      <c r="D3367">
        <v>2376.17</v>
      </c>
    </row>
    <row r="3368" spans="1:4" x14ac:dyDescent="0.25">
      <c r="A3368" t="s">
        <v>462</v>
      </c>
      <c r="B3368" t="s">
        <v>320</v>
      </c>
      <c r="C3368" s="2">
        <f>HYPERLINK("https://svao.dolgi.msk.ru/account/1760117046/", 1760117046)</f>
        <v>1760117046</v>
      </c>
      <c r="D3368">
        <v>4906.71</v>
      </c>
    </row>
    <row r="3369" spans="1:4" x14ac:dyDescent="0.25">
      <c r="A3369" t="s">
        <v>462</v>
      </c>
      <c r="B3369" t="s">
        <v>314</v>
      </c>
      <c r="C3369" s="2">
        <f>HYPERLINK("https://svao.dolgi.msk.ru/account/1760117062/", 1760117062)</f>
        <v>1760117062</v>
      </c>
      <c r="D3369">
        <v>6603.15</v>
      </c>
    </row>
    <row r="3370" spans="1:4" x14ac:dyDescent="0.25">
      <c r="A3370" t="s">
        <v>462</v>
      </c>
      <c r="B3370" t="s">
        <v>242</v>
      </c>
      <c r="C3370" s="2">
        <f>HYPERLINK("https://svao.dolgi.msk.ru/account/1760117089/", 1760117089)</f>
        <v>1760117089</v>
      </c>
      <c r="D3370">
        <v>4578.2</v>
      </c>
    </row>
    <row r="3371" spans="1:4" x14ac:dyDescent="0.25">
      <c r="A3371" t="s">
        <v>462</v>
      </c>
      <c r="B3371" t="s">
        <v>80</v>
      </c>
      <c r="C3371" s="2">
        <f>HYPERLINK("https://svao.dolgi.msk.ru/account/1760117142/", 1760117142)</f>
        <v>1760117142</v>
      </c>
      <c r="D3371">
        <v>3690.32</v>
      </c>
    </row>
    <row r="3372" spans="1:4" x14ac:dyDescent="0.25">
      <c r="A3372" t="s">
        <v>462</v>
      </c>
      <c r="B3372" t="s">
        <v>127</v>
      </c>
      <c r="C3372" s="2">
        <f>HYPERLINK("https://svao.dolgi.msk.ru/account/1760117177/", 1760117177)</f>
        <v>1760117177</v>
      </c>
      <c r="D3372">
        <v>3823.37</v>
      </c>
    </row>
    <row r="3373" spans="1:4" x14ac:dyDescent="0.25">
      <c r="A3373" t="s">
        <v>463</v>
      </c>
      <c r="B3373" t="s">
        <v>7</v>
      </c>
      <c r="C3373" s="2">
        <f>HYPERLINK("https://svao.dolgi.msk.ru/account/1760261558/", 1760261558)</f>
        <v>1760261558</v>
      </c>
      <c r="D3373">
        <v>4867.37</v>
      </c>
    </row>
    <row r="3374" spans="1:4" x14ac:dyDescent="0.25">
      <c r="A3374" t="s">
        <v>463</v>
      </c>
      <c r="B3374" t="s">
        <v>101</v>
      </c>
      <c r="C3374" s="2">
        <f>HYPERLINK("https://svao.dolgi.msk.ru/account/1760261574/", 1760261574)</f>
        <v>1760261574</v>
      </c>
      <c r="D3374">
        <v>8133.29</v>
      </c>
    </row>
    <row r="3375" spans="1:4" x14ac:dyDescent="0.25">
      <c r="A3375" t="s">
        <v>463</v>
      </c>
      <c r="B3375" t="s">
        <v>141</v>
      </c>
      <c r="C3375" s="2">
        <f>HYPERLINK("https://svao.dolgi.msk.ru/account/1760261582/", 1760261582)</f>
        <v>1760261582</v>
      </c>
      <c r="D3375">
        <v>3314.55</v>
      </c>
    </row>
    <row r="3376" spans="1:4" x14ac:dyDescent="0.25">
      <c r="A3376" t="s">
        <v>463</v>
      </c>
      <c r="B3376" t="s">
        <v>102</v>
      </c>
      <c r="C3376" s="2">
        <f>HYPERLINK("https://svao.dolgi.msk.ru/account/1760261603/", 1760261603)</f>
        <v>1760261603</v>
      </c>
      <c r="D3376">
        <v>9868.35</v>
      </c>
    </row>
    <row r="3377" spans="1:4" x14ac:dyDescent="0.25">
      <c r="A3377" t="s">
        <v>463</v>
      </c>
      <c r="B3377" t="s">
        <v>103</v>
      </c>
      <c r="C3377" s="2">
        <f>HYPERLINK("https://svao.dolgi.msk.ru/account/1760261611/", 1760261611)</f>
        <v>1760261611</v>
      </c>
      <c r="D3377">
        <v>1354.86</v>
      </c>
    </row>
    <row r="3378" spans="1:4" x14ac:dyDescent="0.25">
      <c r="A3378" t="s">
        <v>463</v>
      </c>
      <c r="B3378" t="s">
        <v>8</v>
      </c>
      <c r="C3378" s="2">
        <f>HYPERLINK("https://svao.dolgi.msk.ru/account/1760261662/", 1760261662)</f>
        <v>1760261662</v>
      </c>
      <c r="D3378">
        <v>2670.26</v>
      </c>
    </row>
    <row r="3379" spans="1:4" x14ac:dyDescent="0.25">
      <c r="A3379" t="s">
        <v>463</v>
      </c>
      <c r="B3379" t="s">
        <v>137</v>
      </c>
      <c r="C3379" s="2">
        <f>HYPERLINK("https://svao.dolgi.msk.ru/account/1760261697/", 1760261697)</f>
        <v>1760261697</v>
      </c>
      <c r="D3379">
        <v>3707.08</v>
      </c>
    </row>
    <row r="3380" spans="1:4" x14ac:dyDescent="0.25">
      <c r="A3380" t="s">
        <v>464</v>
      </c>
      <c r="B3380" t="s">
        <v>101</v>
      </c>
      <c r="C3380" s="2">
        <f>HYPERLINK("https://svao.dolgi.msk.ru/account/1760161119/", 1760161119)</f>
        <v>1760161119</v>
      </c>
      <c r="D3380">
        <v>7682.19</v>
      </c>
    </row>
    <row r="3381" spans="1:4" x14ac:dyDescent="0.25">
      <c r="A3381" t="s">
        <v>464</v>
      </c>
      <c r="B3381" t="s">
        <v>141</v>
      </c>
      <c r="C3381" s="2">
        <f>HYPERLINK("https://svao.dolgi.msk.ru/account/1760161151/", 1760161151)</f>
        <v>1760161151</v>
      </c>
      <c r="D3381">
        <v>11137.76</v>
      </c>
    </row>
    <row r="3382" spans="1:4" x14ac:dyDescent="0.25">
      <c r="A3382" t="s">
        <v>464</v>
      </c>
      <c r="B3382" t="s">
        <v>73</v>
      </c>
      <c r="C3382" s="2">
        <f>HYPERLINK("https://svao.dolgi.msk.ru/account/1760161207/", 1760161207)</f>
        <v>1760161207</v>
      </c>
      <c r="D3382">
        <v>5883.27</v>
      </c>
    </row>
    <row r="3383" spans="1:4" x14ac:dyDescent="0.25">
      <c r="A3383" t="s">
        <v>464</v>
      </c>
      <c r="B3383" t="s">
        <v>104</v>
      </c>
      <c r="C3383" s="2">
        <f>HYPERLINK("https://svao.dolgi.msk.ru/account/1760161258/", 1760161258)</f>
        <v>1760161258</v>
      </c>
      <c r="D3383">
        <v>3397.43</v>
      </c>
    </row>
    <row r="3384" spans="1:4" x14ac:dyDescent="0.25">
      <c r="A3384" t="s">
        <v>464</v>
      </c>
      <c r="B3384" t="s">
        <v>10</v>
      </c>
      <c r="C3384" s="2">
        <f>HYPERLINK("https://svao.dolgi.msk.ru/account/1760161346/", 1760161346)</f>
        <v>1760161346</v>
      </c>
      <c r="D3384">
        <v>3558.04</v>
      </c>
    </row>
    <row r="3385" spans="1:4" x14ac:dyDescent="0.25">
      <c r="A3385" t="s">
        <v>464</v>
      </c>
      <c r="B3385" t="s">
        <v>13</v>
      </c>
      <c r="C3385" s="2">
        <f>HYPERLINK("https://svao.dolgi.msk.ru/account/1760161426/", 1760161426)</f>
        <v>1760161426</v>
      </c>
      <c r="D3385">
        <v>145.07</v>
      </c>
    </row>
    <row r="3386" spans="1:4" x14ac:dyDescent="0.25">
      <c r="A3386" t="s">
        <v>464</v>
      </c>
      <c r="B3386" t="s">
        <v>13</v>
      </c>
      <c r="C3386" s="2">
        <f>HYPERLINK("https://svao.dolgi.msk.ru/account/1760161434/", 1760161434)</f>
        <v>1760161434</v>
      </c>
      <c r="D3386">
        <v>4089.7</v>
      </c>
    </row>
    <row r="3387" spans="1:4" x14ac:dyDescent="0.25">
      <c r="A3387" t="s">
        <v>464</v>
      </c>
      <c r="B3387" t="s">
        <v>106</v>
      </c>
      <c r="C3387" s="2">
        <f>HYPERLINK("https://svao.dolgi.msk.ru/account/1760161493/", 1760161493)</f>
        <v>1760161493</v>
      </c>
      <c r="D3387">
        <v>4081.97</v>
      </c>
    </row>
    <row r="3388" spans="1:4" x14ac:dyDescent="0.25">
      <c r="A3388" t="s">
        <v>464</v>
      </c>
      <c r="B3388" t="s">
        <v>107</v>
      </c>
      <c r="C3388" s="2">
        <f>HYPERLINK("https://svao.dolgi.msk.ru/account/1760161506/", 1760161506)</f>
        <v>1760161506</v>
      </c>
      <c r="D3388">
        <v>4342.92</v>
      </c>
    </row>
    <row r="3389" spans="1:4" x14ac:dyDescent="0.25">
      <c r="A3389" t="s">
        <v>464</v>
      </c>
      <c r="B3389" t="s">
        <v>108</v>
      </c>
      <c r="C3389" s="2">
        <f>HYPERLINK("https://svao.dolgi.msk.ru/account/1760161522/", 1760161522)</f>
        <v>1760161522</v>
      </c>
      <c r="D3389">
        <v>7946.74</v>
      </c>
    </row>
    <row r="3390" spans="1:4" x14ac:dyDescent="0.25">
      <c r="A3390" t="s">
        <v>464</v>
      </c>
      <c r="B3390" t="s">
        <v>16</v>
      </c>
      <c r="C3390" s="2">
        <f>HYPERLINK("https://svao.dolgi.msk.ru/account/1760161565/", 1760161565)</f>
        <v>1760161565</v>
      </c>
      <c r="D3390">
        <v>6418.39</v>
      </c>
    </row>
    <row r="3391" spans="1:4" x14ac:dyDescent="0.25">
      <c r="A3391" t="s">
        <v>464</v>
      </c>
      <c r="B3391" t="s">
        <v>20</v>
      </c>
      <c r="C3391" s="2">
        <f>HYPERLINK("https://svao.dolgi.msk.ru/account/1760161661/", 1760161661)</f>
        <v>1760161661</v>
      </c>
      <c r="D3391">
        <v>7767.58</v>
      </c>
    </row>
    <row r="3392" spans="1:4" x14ac:dyDescent="0.25">
      <c r="A3392" t="s">
        <v>464</v>
      </c>
      <c r="B3392" t="s">
        <v>76</v>
      </c>
      <c r="C3392" s="2">
        <f>HYPERLINK("https://svao.dolgi.msk.ru/account/1760161688/", 1760161688)</f>
        <v>1760161688</v>
      </c>
      <c r="D3392">
        <v>6272.23</v>
      </c>
    </row>
    <row r="3393" spans="1:4" x14ac:dyDescent="0.25">
      <c r="A3393" t="s">
        <v>465</v>
      </c>
      <c r="B3393" t="s">
        <v>102</v>
      </c>
      <c r="C3393" s="2">
        <f>HYPERLINK("https://svao.dolgi.msk.ru/account/1760216351/", 1760216351)</f>
        <v>1760216351</v>
      </c>
      <c r="D3393">
        <v>7372.37</v>
      </c>
    </row>
    <row r="3394" spans="1:4" x14ac:dyDescent="0.25">
      <c r="A3394" t="s">
        <v>465</v>
      </c>
      <c r="B3394" t="s">
        <v>9</v>
      </c>
      <c r="C3394" s="2">
        <f>HYPERLINK("https://svao.dolgi.msk.ru/account/1760216458/", 1760216458)</f>
        <v>1760216458</v>
      </c>
      <c r="D3394">
        <v>137.5</v>
      </c>
    </row>
    <row r="3395" spans="1:4" x14ac:dyDescent="0.25">
      <c r="A3395" t="s">
        <v>465</v>
      </c>
      <c r="B3395" t="s">
        <v>13</v>
      </c>
      <c r="C3395" s="2">
        <f>HYPERLINK("https://svao.dolgi.msk.ru/account/1760216554/", 1760216554)</f>
        <v>1760216554</v>
      </c>
      <c r="D3395">
        <v>7974.12</v>
      </c>
    </row>
    <row r="3396" spans="1:4" x14ac:dyDescent="0.25">
      <c r="A3396" t="s">
        <v>465</v>
      </c>
      <c r="B3396" t="s">
        <v>20</v>
      </c>
      <c r="C3396" s="2">
        <f>HYPERLINK("https://svao.dolgi.msk.ru/account/1760216714/", 1760216714)</f>
        <v>1760216714</v>
      </c>
      <c r="D3396">
        <v>4672.51</v>
      </c>
    </row>
    <row r="3397" spans="1:4" x14ac:dyDescent="0.25">
      <c r="A3397" t="s">
        <v>465</v>
      </c>
      <c r="B3397" t="s">
        <v>92</v>
      </c>
      <c r="C3397" s="2">
        <f>HYPERLINK("https://svao.dolgi.msk.ru/account/1760216749/", 1760216749)</f>
        <v>1760216749</v>
      </c>
      <c r="D3397">
        <v>502.92</v>
      </c>
    </row>
    <row r="3398" spans="1:4" x14ac:dyDescent="0.25">
      <c r="A3398" t="s">
        <v>465</v>
      </c>
      <c r="B3398" t="s">
        <v>112</v>
      </c>
      <c r="C3398" s="2">
        <f>HYPERLINK("https://svao.dolgi.msk.ru/account/1760216781/", 1760216781)</f>
        <v>1760216781</v>
      </c>
      <c r="D3398">
        <v>10274.74</v>
      </c>
    </row>
    <row r="3399" spans="1:4" x14ac:dyDescent="0.25">
      <c r="A3399" t="s">
        <v>465</v>
      </c>
      <c r="B3399" t="s">
        <v>113</v>
      </c>
      <c r="C3399" s="2">
        <f>HYPERLINK("https://svao.dolgi.msk.ru/account/1760216802/", 1760216802)</f>
        <v>1760216802</v>
      </c>
      <c r="D3399">
        <v>30881.8</v>
      </c>
    </row>
    <row r="3400" spans="1:4" x14ac:dyDescent="0.25">
      <c r="A3400" t="s">
        <v>465</v>
      </c>
      <c r="B3400" t="s">
        <v>79</v>
      </c>
      <c r="C3400" s="2">
        <f>HYPERLINK("https://svao.dolgi.msk.ru/account/1760216888/", 1760216888)</f>
        <v>1760216888</v>
      </c>
      <c r="D3400">
        <v>12863.99</v>
      </c>
    </row>
    <row r="3401" spans="1:4" x14ac:dyDescent="0.25">
      <c r="A3401" t="s">
        <v>465</v>
      </c>
      <c r="B3401" t="s">
        <v>124</v>
      </c>
      <c r="C3401" s="2">
        <f>HYPERLINK("https://svao.dolgi.msk.ru/account/1760216909/", 1760216909)</f>
        <v>1760216909</v>
      </c>
      <c r="D3401">
        <v>1481.54</v>
      </c>
    </row>
    <row r="3402" spans="1:4" x14ac:dyDescent="0.25">
      <c r="A3402" t="s">
        <v>465</v>
      </c>
      <c r="B3402" t="s">
        <v>117</v>
      </c>
      <c r="C3402" s="2">
        <f>HYPERLINK("https://svao.dolgi.msk.ru/account/1760216917/", 1760216917)</f>
        <v>1760216917</v>
      </c>
      <c r="D3402">
        <v>7665.93</v>
      </c>
    </row>
    <row r="3403" spans="1:4" x14ac:dyDescent="0.25">
      <c r="A3403" t="s">
        <v>465</v>
      </c>
      <c r="B3403" t="s">
        <v>314</v>
      </c>
      <c r="C3403" s="2">
        <f>HYPERLINK("https://svao.dolgi.msk.ru/account/1760216968/", 1760216968)</f>
        <v>1760216968</v>
      </c>
      <c r="D3403">
        <v>5915.88</v>
      </c>
    </row>
    <row r="3404" spans="1:4" x14ac:dyDescent="0.25">
      <c r="A3404" t="s">
        <v>465</v>
      </c>
      <c r="B3404" t="s">
        <v>95</v>
      </c>
      <c r="C3404" s="2">
        <f>HYPERLINK("https://svao.dolgi.msk.ru/account/1760216984/", 1760216984)</f>
        <v>1760216984</v>
      </c>
      <c r="D3404">
        <v>8116.73</v>
      </c>
    </row>
    <row r="3405" spans="1:4" x14ac:dyDescent="0.25">
      <c r="A3405" t="s">
        <v>465</v>
      </c>
      <c r="B3405" t="s">
        <v>26</v>
      </c>
      <c r="C3405" s="2">
        <f>HYPERLINK("https://svao.dolgi.msk.ru/account/1760217178/", 1760217178)</f>
        <v>1760217178</v>
      </c>
      <c r="D3405">
        <v>10269.19</v>
      </c>
    </row>
    <row r="3406" spans="1:4" x14ac:dyDescent="0.25">
      <c r="A3406" t="s">
        <v>465</v>
      </c>
      <c r="B3406" t="s">
        <v>27</v>
      </c>
      <c r="C3406" s="2">
        <f>HYPERLINK("https://svao.dolgi.msk.ru/account/1760217207/", 1760217207)</f>
        <v>1760217207</v>
      </c>
      <c r="D3406">
        <v>11999.86</v>
      </c>
    </row>
    <row r="3407" spans="1:4" x14ac:dyDescent="0.25">
      <c r="A3407" t="s">
        <v>465</v>
      </c>
      <c r="B3407" t="s">
        <v>27</v>
      </c>
      <c r="C3407" s="2">
        <f>HYPERLINK("https://svao.dolgi.msk.ru/account/1760217215/", 1760217215)</f>
        <v>1760217215</v>
      </c>
      <c r="D3407">
        <v>2618.6</v>
      </c>
    </row>
    <row r="3408" spans="1:4" x14ac:dyDescent="0.25">
      <c r="A3408" t="s">
        <v>465</v>
      </c>
      <c r="B3408" t="s">
        <v>257</v>
      </c>
      <c r="C3408" s="2">
        <f>HYPERLINK("https://svao.dolgi.msk.ru/account/1760222794/", 1760222794)</f>
        <v>1760222794</v>
      </c>
      <c r="D3408">
        <v>5529.64</v>
      </c>
    </row>
    <row r="3409" spans="1:4" x14ac:dyDescent="0.25">
      <c r="A3409" t="s">
        <v>465</v>
      </c>
      <c r="B3409" t="s">
        <v>160</v>
      </c>
      <c r="C3409" s="2">
        <f>HYPERLINK("https://svao.dolgi.msk.ru/account/1760222815/", 1760222815)</f>
        <v>1760222815</v>
      </c>
      <c r="D3409">
        <v>3364.06</v>
      </c>
    </row>
    <row r="3410" spans="1:4" x14ac:dyDescent="0.25">
      <c r="A3410" t="s">
        <v>465</v>
      </c>
      <c r="B3410" t="s">
        <v>63</v>
      </c>
      <c r="C3410" s="2">
        <f>HYPERLINK("https://svao.dolgi.msk.ru/account/1760222823/", 1760222823)</f>
        <v>1760222823</v>
      </c>
      <c r="D3410">
        <v>186430.69</v>
      </c>
    </row>
    <row r="3411" spans="1:4" x14ac:dyDescent="0.25">
      <c r="A3411" t="s">
        <v>465</v>
      </c>
      <c r="B3411" t="s">
        <v>65</v>
      </c>
      <c r="C3411" s="2">
        <f>HYPERLINK("https://svao.dolgi.msk.ru/account/1760222866/", 1760222866)</f>
        <v>1760222866</v>
      </c>
      <c r="D3411">
        <v>58867.82</v>
      </c>
    </row>
    <row r="3412" spans="1:4" x14ac:dyDescent="0.25">
      <c r="A3412" t="s">
        <v>465</v>
      </c>
      <c r="B3412" t="s">
        <v>379</v>
      </c>
      <c r="C3412" s="2">
        <f>HYPERLINK("https://svao.dolgi.msk.ru/account/1760222938/", 1760222938)</f>
        <v>1760222938</v>
      </c>
      <c r="D3412">
        <v>2095.77</v>
      </c>
    </row>
    <row r="3413" spans="1:4" x14ac:dyDescent="0.25">
      <c r="A3413" t="s">
        <v>465</v>
      </c>
      <c r="B3413" t="s">
        <v>380</v>
      </c>
      <c r="C3413" s="2">
        <f>HYPERLINK("https://svao.dolgi.msk.ru/account/1760222946/", 1760222946)</f>
        <v>1760222946</v>
      </c>
      <c r="D3413">
        <v>3877.13</v>
      </c>
    </row>
    <row r="3414" spans="1:4" x14ac:dyDescent="0.25">
      <c r="A3414" t="s">
        <v>465</v>
      </c>
      <c r="B3414" t="s">
        <v>439</v>
      </c>
      <c r="C3414" s="2">
        <f>HYPERLINK("https://svao.dolgi.msk.ru/account/1760222954/", 1760222954)</f>
        <v>1760222954</v>
      </c>
      <c r="D3414">
        <v>6805.57</v>
      </c>
    </row>
    <row r="3415" spans="1:4" x14ac:dyDescent="0.25">
      <c r="A3415" t="s">
        <v>465</v>
      </c>
      <c r="B3415" t="s">
        <v>258</v>
      </c>
      <c r="C3415" s="2">
        <f>HYPERLINK("https://svao.dolgi.msk.ru/account/1760222962/", 1760222962)</f>
        <v>1760222962</v>
      </c>
      <c r="D3415">
        <v>2860.15</v>
      </c>
    </row>
    <row r="3416" spans="1:4" x14ac:dyDescent="0.25">
      <c r="A3416" t="s">
        <v>465</v>
      </c>
      <c r="B3416" t="s">
        <v>164</v>
      </c>
      <c r="C3416" s="2">
        <f>HYPERLINK("https://svao.dolgi.msk.ru/account/1760223041/", 1760223041)</f>
        <v>1760223041</v>
      </c>
      <c r="D3416">
        <v>22003.119999999999</v>
      </c>
    </row>
    <row r="3417" spans="1:4" x14ac:dyDescent="0.25">
      <c r="A3417" t="s">
        <v>465</v>
      </c>
      <c r="B3417" t="s">
        <v>262</v>
      </c>
      <c r="C3417" s="2">
        <f>HYPERLINK("https://svao.dolgi.msk.ru/account/1760223148/", 1760223148)</f>
        <v>1760223148</v>
      </c>
      <c r="D3417">
        <v>3201.81</v>
      </c>
    </row>
    <row r="3418" spans="1:4" x14ac:dyDescent="0.25">
      <c r="A3418" t="s">
        <v>465</v>
      </c>
      <c r="B3418" t="s">
        <v>166</v>
      </c>
      <c r="C3418" s="2">
        <f>HYPERLINK("https://svao.dolgi.msk.ru/account/1760223172/", 1760223172)</f>
        <v>1760223172</v>
      </c>
      <c r="D3418">
        <v>2999.1</v>
      </c>
    </row>
    <row r="3419" spans="1:4" x14ac:dyDescent="0.25">
      <c r="A3419" t="s">
        <v>466</v>
      </c>
      <c r="B3419" t="s">
        <v>29</v>
      </c>
      <c r="C3419" s="2">
        <f>HYPERLINK("https://svao.dolgi.msk.ru/account/1760217311/", 1760217311)</f>
        <v>1760217311</v>
      </c>
      <c r="D3419">
        <v>9015.27</v>
      </c>
    </row>
    <row r="3420" spans="1:4" x14ac:dyDescent="0.25">
      <c r="A3420" t="s">
        <v>466</v>
      </c>
      <c r="B3420" t="s">
        <v>97</v>
      </c>
      <c r="C3420" s="2">
        <f>HYPERLINK("https://svao.dolgi.msk.ru/account/1760217362/", 1760217362)</f>
        <v>1760217362</v>
      </c>
      <c r="D3420">
        <v>4656.8100000000004</v>
      </c>
    </row>
    <row r="3421" spans="1:4" x14ac:dyDescent="0.25">
      <c r="A3421" t="s">
        <v>466</v>
      </c>
      <c r="B3421" t="s">
        <v>245</v>
      </c>
      <c r="C3421" s="2">
        <f>HYPERLINK("https://svao.dolgi.msk.ru/account/1760217434/", 1760217434)</f>
        <v>1760217434</v>
      </c>
      <c r="D3421">
        <v>7214.25</v>
      </c>
    </row>
    <row r="3422" spans="1:4" x14ac:dyDescent="0.25">
      <c r="A3422" t="s">
        <v>466</v>
      </c>
      <c r="B3422" t="s">
        <v>333</v>
      </c>
      <c r="C3422" s="2">
        <f>HYPERLINK("https://svao.dolgi.msk.ru/account/1760217522/", 1760217522)</f>
        <v>1760217522</v>
      </c>
      <c r="D3422">
        <v>157124.91</v>
      </c>
    </row>
    <row r="3423" spans="1:4" x14ac:dyDescent="0.25">
      <c r="A3423" t="s">
        <v>466</v>
      </c>
      <c r="B3423" t="s">
        <v>37</v>
      </c>
      <c r="C3423" s="2">
        <f>HYPERLINK("https://svao.dolgi.msk.ru/account/1760217602/", 1760217602)</f>
        <v>1760217602</v>
      </c>
      <c r="D3423">
        <v>14555.16</v>
      </c>
    </row>
    <row r="3424" spans="1:4" x14ac:dyDescent="0.25">
      <c r="A3424" t="s">
        <v>466</v>
      </c>
      <c r="B3424" t="s">
        <v>38</v>
      </c>
      <c r="C3424" s="2">
        <f>HYPERLINK("https://svao.dolgi.msk.ru/account/1760217629/", 1760217629)</f>
        <v>1760217629</v>
      </c>
      <c r="D3424">
        <v>5709.22</v>
      </c>
    </row>
    <row r="3425" spans="1:4" x14ac:dyDescent="0.25">
      <c r="A3425" t="s">
        <v>466</v>
      </c>
      <c r="B3425" t="s">
        <v>43</v>
      </c>
      <c r="C3425" s="2">
        <f>HYPERLINK("https://svao.dolgi.msk.ru/account/1760278907/", 1760278907)</f>
        <v>1760278907</v>
      </c>
      <c r="D3425">
        <v>3014.16</v>
      </c>
    </row>
    <row r="3426" spans="1:4" x14ac:dyDescent="0.25">
      <c r="A3426" t="s">
        <v>466</v>
      </c>
      <c r="B3426" t="s">
        <v>89</v>
      </c>
      <c r="C3426" s="2">
        <f>HYPERLINK("https://svao.dolgi.msk.ru/account/1760217696/", 1760217696)</f>
        <v>1760217696</v>
      </c>
      <c r="D3426">
        <v>6423.97</v>
      </c>
    </row>
    <row r="3427" spans="1:4" x14ac:dyDescent="0.25">
      <c r="A3427" t="s">
        <v>466</v>
      </c>
      <c r="B3427" t="s">
        <v>142</v>
      </c>
      <c r="C3427" s="2">
        <f>HYPERLINK("https://svao.dolgi.msk.ru/account/1760217709/", 1760217709)</f>
        <v>1760217709</v>
      </c>
      <c r="D3427">
        <v>242390.59</v>
      </c>
    </row>
    <row r="3428" spans="1:4" x14ac:dyDescent="0.25">
      <c r="A3428" t="s">
        <v>466</v>
      </c>
      <c r="B3428" t="s">
        <v>144</v>
      </c>
      <c r="C3428" s="2">
        <f>HYPERLINK("https://svao.dolgi.msk.ru/account/1760217768/", 1760217768)</f>
        <v>1760217768</v>
      </c>
      <c r="D3428">
        <v>4551.38</v>
      </c>
    </row>
    <row r="3429" spans="1:4" x14ac:dyDescent="0.25">
      <c r="A3429" t="s">
        <v>466</v>
      </c>
      <c r="B3429" t="s">
        <v>248</v>
      </c>
      <c r="C3429" s="2">
        <f>HYPERLINK("https://svao.dolgi.msk.ru/account/1760217792/", 1760217792)</f>
        <v>1760217792</v>
      </c>
      <c r="D3429">
        <v>4878.74</v>
      </c>
    </row>
    <row r="3430" spans="1:4" x14ac:dyDescent="0.25">
      <c r="A3430" t="s">
        <v>466</v>
      </c>
      <c r="B3430" t="s">
        <v>145</v>
      </c>
      <c r="C3430" s="2">
        <f>HYPERLINK("https://svao.dolgi.msk.ru/account/1760217813/", 1760217813)</f>
        <v>1760217813</v>
      </c>
      <c r="D3430">
        <v>1156.6500000000001</v>
      </c>
    </row>
    <row r="3431" spans="1:4" x14ac:dyDescent="0.25">
      <c r="A3431" t="s">
        <v>466</v>
      </c>
      <c r="B3431" t="s">
        <v>47</v>
      </c>
      <c r="C3431" s="2">
        <f>HYPERLINK("https://svao.dolgi.msk.ru/account/1760217856/", 1760217856)</f>
        <v>1760217856</v>
      </c>
      <c r="D3431">
        <v>4439.3100000000004</v>
      </c>
    </row>
    <row r="3432" spans="1:4" x14ac:dyDescent="0.25">
      <c r="A3432" t="s">
        <v>466</v>
      </c>
      <c r="B3432" t="s">
        <v>250</v>
      </c>
      <c r="C3432" s="2">
        <f>HYPERLINK("https://svao.dolgi.msk.ru/account/1760217864/", 1760217864)</f>
        <v>1760217864</v>
      </c>
      <c r="D3432">
        <v>3201.53</v>
      </c>
    </row>
    <row r="3433" spans="1:4" x14ac:dyDescent="0.25">
      <c r="A3433" t="s">
        <v>466</v>
      </c>
      <c r="B3433" t="s">
        <v>334</v>
      </c>
      <c r="C3433" s="2">
        <f>HYPERLINK("https://svao.dolgi.msk.ru/account/1760218007/", 1760218007)</f>
        <v>1760218007</v>
      </c>
      <c r="D3433">
        <v>9324.8799999999992</v>
      </c>
    </row>
    <row r="3434" spans="1:4" x14ac:dyDescent="0.25">
      <c r="A3434" t="s">
        <v>466</v>
      </c>
      <c r="B3434" t="s">
        <v>295</v>
      </c>
      <c r="C3434" s="2">
        <f>HYPERLINK("https://svao.dolgi.msk.ru/account/1760218066/", 1760218066)</f>
        <v>1760218066</v>
      </c>
      <c r="D3434">
        <v>3806.09</v>
      </c>
    </row>
    <row r="3435" spans="1:4" x14ac:dyDescent="0.25">
      <c r="A3435" t="s">
        <v>466</v>
      </c>
      <c r="B3435" t="s">
        <v>296</v>
      </c>
      <c r="C3435" s="2">
        <f>HYPERLINK("https://svao.dolgi.msk.ru/account/1760218138/", 1760218138)</f>
        <v>1760218138</v>
      </c>
      <c r="D3435">
        <v>24033.040000000001</v>
      </c>
    </row>
    <row r="3436" spans="1:4" x14ac:dyDescent="0.25">
      <c r="A3436" t="s">
        <v>466</v>
      </c>
      <c r="B3436" t="s">
        <v>54</v>
      </c>
      <c r="C3436" s="2">
        <f>HYPERLINK("https://svao.dolgi.msk.ru/account/1760218197/", 1760218197)</f>
        <v>1760218197</v>
      </c>
      <c r="D3436">
        <v>5264.09</v>
      </c>
    </row>
    <row r="3437" spans="1:4" x14ac:dyDescent="0.25">
      <c r="A3437" t="s">
        <v>466</v>
      </c>
      <c r="B3437" t="s">
        <v>55</v>
      </c>
      <c r="C3437" s="2">
        <f>HYPERLINK("https://svao.dolgi.msk.ru/account/1760218285/", 1760218285)</f>
        <v>1760218285</v>
      </c>
      <c r="D3437">
        <v>4499.54</v>
      </c>
    </row>
    <row r="3438" spans="1:4" x14ac:dyDescent="0.25">
      <c r="A3438" t="s">
        <v>466</v>
      </c>
      <c r="B3438" t="s">
        <v>298</v>
      </c>
      <c r="C3438" s="2">
        <f>HYPERLINK("https://svao.dolgi.msk.ru/account/1760218306/", 1760218306)</f>
        <v>1760218306</v>
      </c>
      <c r="D3438">
        <v>9845.41</v>
      </c>
    </row>
    <row r="3439" spans="1:4" x14ac:dyDescent="0.25">
      <c r="A3439" t="s">
        <v>466</v>
      </c>
      <c r="B3439" t="s">
        <v>153</v>
      </c>
      <c r="C3439" s="2">
        <f>HYPERLINK("https://svao.dolgi.msk.ru/account/1760218314/", 1760218314)</f>
        <v>1760218314</v>
      </c>
      <c r="D3439">
        <v>3319.97</v>
      </c>
    </row>
    <row r="3440" spans="1:4" x14ac:dyDescent="0.25">
      <c r="A3440" t="s">
        <v>466</v>
      </c>
      <c r="B3440" t="s">
        <v>327</v>
      </c>
      <c r="C3440" s="2">
        <f>HYPERLINK("https://svao.dolgi.msk.ru/account/1760218322/", 1760218322)</f>
        <v>1760218322</v>
      </c>
      <c r="D3440">
        <v>71671.92</v>
      </c>
    </row>
    <row r="3441" spans="1:4" x14ac:dyDescent="0.25">
      <c r="A3441" t="s">
        <v>466</v>
      </c>
      <c r="B3441" t="s">
        <v>154</v>
      </c>
      <c r="C3441" s="2">
        <f>HYPERLINK("https://svao.dolgi.msk.ru/account/1760218357/", 1760218357)</f>
        <v>1760218357</v>
      </c>
      <c r="D3441">
        <v>4332.62</v>
      </c>
    </row>
    <row r="3442" spans="1:4" x14ac:dyDescent="0.25">
      <c r="A3442" t="s">
        <v>466</v>
      </c>
      <c r="B3442" t="s">
        <v>328</v>
      </c>
      <c r="C3442" s="2">
        <f>HYPERLINK("https://svao.dolgi.msk.ru/account/1760218365/", 1760218365)</f>
        <v>1760218365</v>
      </c>
      <c r="D3442">
        <v>4206.04</v>
      </c>
    </row>
    <row r="3443" spans="1:4" x14ac:dyDescent="0.25">
      <c r="A3443" t="s">
        <v>466</v>
      </c>
      <c r="B3443" t="s">
        <v>157</v>
      </c>
      <c r="C3443" s="2">
        <f>HYPERLINK("https://svao.dolgi.msk.ru/account/1760218437/", 1760218437)</f>
        <v>1760218437</v>
      </c>
      <c r="D3443">
        <v>4340.0600000000004</v>
      </c>
    </row>
    <row r="3444" spans="1:4" x14ac:dyDescent="0.25">
      <c r="A3444" t="s">
        <v>466</v>
      </c>
      <c r="B3444" t="s">
        <v>341</v>
      </c>
      <c r="C3444" s="2">
        <f>HYPERLINK("https://svao.dolgi.msk.ru/account/1760218648/", 1760218648)</f>
        <v>1760218648</v>
      </c>
      <c r="D3444">
        <v>3456.23</v>
      </c>
    </row>
    <row r="3445" spans="1:4" x14ac:dyDescent="0.25">
      <c r="A3445" t="s">
        <v>466</v>
      </c>
      <c r="B3445" t="s">
        <v>158</v>
      </c>
      <c r="C3445" s="2">
        <f>HYPERLINK("https://svao.dolgi.msk.ru/account/1760218517/", 1760218517)</f>
        <v>1760218517</v>
      </c>
      <c r="D3445">
        <v>6228.01</v>
      </c>
    </row>
    <row r="3446" spans="1:4" x14ac:dyDescent="0.25">
      <c r="A3446" t="s">
        <v>466</v>
      </c>
      <c r="B3446" t="s">
        <v>59</v>
      </c>
      <c r="C3446" s="2">
        <f>HYPERLINK("https://svao.dolgi.msk.ru/account/1760218525/", 1760218525)</f>
        <v>1760218525</v>
      </c>
      <c r="D3446">
        <v>15427.09</v>
      </c>
    </row>
    <row r="3447" spans="1:4" x14ac:dyDescent="0.25">
      <c r="A3447" t="s">
        <v>466</v>
      </c>
      <c r="B3447" t="s">
        <v>336</v>
      </c>
      <c r="C3447" s="2">
        <f>HYPERLINK("https://svao.dolgi.msk.ru/account/1760218541/", 1760218541)</f>
        <v>1760218541</v>
      </c>
      <c r="D3447">
        <v>4174.5</v>
      </c>
    </row>
    <row r="3448" spans="1:4" x14ac:dyDescent="0.25">
      <c r="A3448" t="s">
        <v>466</v>
      </c>
      <c r="B3448" t="s">
        <v>61</v>
      </c>
      <c r="C3448" s="2">
        <f>HYPERLINK("https://svao.dolgi.msk.ru/account/1760218605/", 1760218605)</f>
        <v>1760218605</v>
      </c>
      <c r="D3448">
        <v>7937.94</v>
      </c>
    </row>
    <row r="3449" spans="1:4" x14ac:dyDescent="0.25">
      <c r="A3449" t="s">
        <v>466</v>
      </c>
      <c r="B3449" t="s">
        <v>159</v>
      </c>
      <c r="C3449" s="2">
        <f>HYPERLINK("https://svao.dolgi.msk.ru/account/1760218613/", 1760218613)</f>
        <v>1760218613</v>
      </c>
      <c r="D3449">
        <v>5760.44</v>
      </c>
    </row>
    <row r="3450" spans="1:4" x14ac:dyDescent="0.25">
      <c r="A3450" t="s">
        <v>467</v>
      </c>
      <c r="B3450" t="s">
        <v>104</v>
      </c>
      <c r="C3450" s="2">
        <f>HYPERLINK("https://svao.dolgi.msk.ru/account/1768010817/", 1768010817)</f>
        <v>1768010817</v>
      </c>
      <c r="D3450">
        <v>6517.36</v>
      </c>
    </row>
    <row r="3451" spans="1:4" x14ac:dyDescent="0.25">
      <c r="A3451" t="s">
        <v>467</v>
      </c>
      <c r="B3451" t="s">
        <v>8</v>
      </c>
      <c r="C3451" s="2">
        <f>HYPERLINK("https://svao.dolgi.msk.ru/account/1768010825/", 1768010825)</f>
        <v>1768010825</v>
      </c>
      <c r="D3451">
        <v>3090.99</v>
      </c>
    </row>
    <row r="3452" spans="1:4" x14ac:dyDescent="0.25">
      <c r="A3452" t="s">
        <v>467</v>
      </c>
      <c r="B3452" t="s">
        <v>74</v>
      </c>
      <c r="C3452" s="2">
        <f>HYPERLINK("https://svao.dolgi.msk.ru/account/1768010833/", 1768010833)</f>
        <v>1768010833</v>
      </c>
      <c r="D3452">
        <v>12190.44</v>
      </c>
    </row>
    <row r="3453" spans="1:4" x14ac:dyDescent="0.25">
      <c r="A3453" t="s">
        <v>467</v>
      </c>
      <c r="B3453" t="s">
        <v>75</v>
      </c>
      <c r="C3453" s="2">
        <f>HYPERLINK("https://svao.dolgi.msk.ru/account/1768006084/", 1768006084)</f>
        <v>1768006084</v>
      </c>
      <c r="D3453">
        <v>11205.89</v>
      </c>
    </row>
    <row r="3454" spans="1:4" x14ac:dyDescent="0.25">
      <c r="A3454" t="s">
        <v>467</v>
      </c>
      <c r="B3454" t="s">
        <v>10</v>
      </c>
      <c r="C3454" s="2">
        <f>HYPERLINK("https://svao.dolgi.msk.ru/account/1768010884/", 1768010884)</f>
        <v>1768010884</v>
      </c>
      <c r="D3454">
        <v>2456.4499999999998</v>
      </c>
    </row>
    <row r="3455" spans="1:4" x14ac:dyDescent="0.25">
      <c r="A3455" t="s">
        <v>467</v>
      </c>
      <c r="B3455" t="s">
        <v>219</v>
      </c>
      <c r="C3455" s="2">
        <f>HYPERLINK("https://svao.dolgi.msk.ru/account/1768010892/", 1768010892)</f>
        <v>1768010892</v>
      </c>
      <c r="D3455">
        <v>7063.85</v>
      </c>
    </row>
    <row r="3456" spans="1:4" x14ac:dyDescent="0.25">
      <c r="A3456" t="s">
        <v>467</v>
      </c>
      <c r="B3456" t="s">
        <v>107</v>
      </c>
      <c r="C3456" s="2">
        <f>HYPERLINK("https://svao.dolgi.msk.ru/account/1768010956/", 1768010956)</f>
        <v>1768010956</v>
      </c>
      <c r="D3456">
        <v>3859.35</v>
      </c>
    </row>
    <row r="3457" spans="1:4" x14ac:dyDescent="0.25">
      <c r="A3457" t="s">
        <v>467</v>
      </c>
      <c r="B3457" t="s">
        <v>16</v>
      </c>
      <c r="C3457" s="2">
        <f>HYPERLINK("https://svao.dolgi.msk.ru/account/1768006041/", 1768006041)</f>
        <v>1768006041</v>
      </c>
      <c r="D3457">
        <v>5643.09</v>
      </c>
    </row>
    <row r="3458" spans="1:4" x14ac:dyDescent="0.25">
      <c r="A3458" t="s">
        <v>467</v>
      </c>
      <c r="B3458" t="s">
        <v>17</v>
      </c>
      <c r="C3458" s="2">
        <f>HYPERLINK("https://svao.dolgi.msk.ru/account/1768010972/", 1768010972)</f>
        <v>1768010972</v>
      </c>
      <c r="D3458">
        <v>7661.85</v>
      </c>
    </row>
    <row r="3459" spans="1:4" x14ac:dyDescent="0.25">
      <c r="A3459" t="s">
        <v>467</v>
      </c>
      <c r="B3459" t="s">
        <v>77</v>
      </c>
      <c r="C3459" s="2">
        <f>HYPERLINK("https://svao.dolgi.msk.ru/account/1768011115/", 1768011115)</f>
        <v>1768011115</v>
      </c>
      <c r="D3459">
        <v>7150.79</v>
      </c>
    </row>
    <row r="3460" spans="1:4" x14ac:dyDescent="0.25">
      <c r="A3460" t="s">
        <v>467</v>
      </c>
      <c r="B3460" t="s">
        <v>114</v>
      </c>
      <c r="C3460" s="2">
        <f>HYPERLINK("https://svao.dolgi.msk.ru/account/1768011123/", 1768011123)</f>
        <v>1768011123</v>
      </c>
      <c r="D3460">
        <v>348.77</v>
      </c>
    </row>
    <row r="3461" spans="1:4" x14ac:dyDescent="0.25">
      <c r="A3461" t="s">
        <v>467</v>
      </c>
      <c r="B3461" t="s">
        <v>79</v>
      </c>
      <c r="C3461" s="2">
        <f>HYPERLINK("https://svao.dolgi.msk.ru/account/1768005997/", 1768005997)</f>
        <v>1768005997</v>
      </c>
      <c r="D3461">
        <v>3608.52</v>
      </c>
    </row>
    <row r="3462" spans="1:4" x14ac:dyDescent="0.25">
      <c r="A3462" t="s">
        <v>467</v>
      </c>
      <c r="B3462" t="s">
        <v>23</v>
      </c>
      <c r="C3462" s="2">
        <f>HYPERLINK("https://svao.dolgi.msk.ru/account/1761795842/", 1761795842)</f>
        <v>1761795842</v>
      </c>
      <c r="D3462">
        <v>13254.38</v>
      </c>
    </row>
    <row r="3463" spans="1:4" x14ac:dyDescent="0.25">
      <c r="A3463" t="s">
        <v>467</v>
      </c>
      <c r="B3463" t="s">
        <v>23</v>
      </c>
      <c r="C3463" s="2">
        <f>HYPERLINK("https://svao.dolgi.msk.ru/account/1768011166/", 1768011166)</f>
        <v>1768011166</v>
      </c>
      <c r="D3463">
        <v>310.17</v>
      </c>
    </row>
    <row r="3464" spans="1:4" x14ac:dyDescent="0.25">
      <c r="A3464" t="s">
        <v>467</v>
      </c>
      <c r="B3464" t="s">
        <v>115</v>
      </c>
      <c r="C3464" s="2">
        <f>HYPERLINK("https://svao.dolgi.msk.ru/account/1768011182/", 1768011182)</f>
        <v>1768011182</v>
      </c>
      <c r="D3464">
        <v>4715.95</v>
      </c>
    </row>
    <row r="3465" spans="1:4" x14ac:dyDescent="0.25">
      <c r="A3465" t="s">
        <v>467</v>
      </c>
      <c r="B3465" t="s">
        <v>131</v>
      </c>
      <c r="C3465" s="2">
        <f>HYPERLINK("https://svao.dolgi.msk.ru/account/1768011254/", 1768011254)</f>
        <v>1768011254</v>
      </c>
      <c r="D3465">
        <v>2290.06</v>
      </c>
    </row>
    <row r="3466" spans="1:4" x14ac:dyDescent="0.25">
      <c r="A3466" t="s">
        <v>467</v>
      </c>
      <c r="B3466" t="s">
        <v>125</v>
      </c>
      <c r="C3466" s="2">
        <f>HYPERLINK("https://svao.dolgi.msk.ru/account/1768011262/", 1768011262)</f>
        <v>1768011262</v>
      </c>
      <c r="D3466">
        <v>3359.43</v>
      </c>
    </row>
    <row r="3467" spans="1:4" x14ac:dyDescent="0.25">
      <c r="A3467" t="s">
        <v>467</v>
      </c>
      <c r="B3467" t="s">
        <v>26</v>
      </c>
      <c r="C3467" s="2">
        <f>HYPERLINK("https://svao.dolgi.msk.ru/account/1768011377/", 1768011377)</f>
        <v>1768011377</v>
      </c>
      <c r="D3467">
        <v>4144.5600000000004</v>
      </c>
    </row>
    <row r="3468" spans="1:4" x14ac:dyDescent="0.25">
      <c r="A3468" t="s">
        <v>467</v>
      </c>
      <c r="B3468" t="s">
        <v>133</v>
      </c>
      <c r="C3468" s="2">
        <f>HYPERLINK("https://svao.dolgi.msk.ru/account/1768005962/", 1768005962)</f>
        <v>1768005962</v>
      </c>
      <c r="D3468">
        <v>3392.19</v>
      </c>
    </row>
    <row r="3469" spans="1:4" x14ac:dyDescent="0.25">
      <c r="A3469" t="s">
        <v>467</v>
      </c>
      <c r="B3469" t="s">
        <v>27</v>
      </c>
      <c r="C3469" s="2">
        <f>HYPERLINK("https://svao.dolgi.msk.ru/account/1768011393/", 1768011393)</f>
        <v>1768011393</v>
      </c>
      <c r="D3469">
        <v>3235.86</v>
      </c>
    </row>
    <row r="3470" spans="1:4" x14ac:dyDescent="0.25">
      <c r="A3470" t="s">
        <v>467</v>
      </c>
      <c r="B3470" t="s">
        <v>243</v>
      </c>
      <c r="C3470" s="2">
        <f>HYPERLINK("https://svao.dolgi.msk.ru/account/1768011414/", 1768011414)</f>
        <v>1768011414</v>
      </c>
      <c r="D3470">
        <v>2748.56</v>
      </c>
    </row>
    <row r="3471" spans="1:4" x14ac:dyDescent="0.25">
      <c r="A3471" t="s">
        <v>467</v>
      </c>
      <c r="B3471" t="s">
        <v>29</v>
      </c>
      <c r="C3471" s="2">
        <f>HYPERLINK("https://svao.dolgi.msk.ru/account/1768005882/", 1768005882)</f>
        <v>1768005882</v>
      </c>
      <c r="D3471">
        <v>3792.39</v>
      </c>
    </row>
    <row r="3472" spans="1:4" x14ac:dyDescent="0.25">
      <c r="A3472" t="s">
        <v>467</v>
      </c>
      <c r="B3472" t="s">
        <v>244</v>
      </c>
      <c r="C3472" s="2">
        <f>HYPERLINK("https://svao.dolgi.msk.ru/account/1768011465/", 1768011465)</f>
        <v>1768011465</v>
      </c>
      <c r="D3472">
        <v>3269.87</v>
      </c>
    </row>
    <row r="3473" spans="1:4" x14ac:dyDescent="0.25">
      <c r="A3473" t="s">
        <v>467</v>
      </c>
      <c r="B3473" t="s">
        <v>31</v>
      </c>
      <c r="C3473" s="2">
        <f>HYPERLINK("https://svao.dolgi.msk.ru/account/1768011502/", 1768011502)</f>
        <v>1768011502</v>
      </c>
      <c r="D3473">
        <v>3240.53</v>
      </c>
    </row>
    <row r="3474" spans="1:4" x14ac:dyDescent="0.25">
      <c r="A3474" t="s">
        <v>467</v>
      </c>
      <c r="B3474" t="s">
        <v>32</v>
      </c>
      <c r="C3474" s="2">
        <f>HYPERLINK("https://svao.dolgi.msk.ru/account/1768011553/", 1768011553)</f>
        <v>1768011553</v>
      </c>
      <c r="D3474">
        <v>5626.6</v>
      </c>
    </row>
    <row r="3475" spans="1:4" x14ac:dyDescent="0.25">
      <c r="A3475" t="s">
        <v>467</v>
      </c>
      <c r="B3475" t="s">
        <v>33</v>
      </c>
      <c r="C3475" s="2">
        <f>HYPERLINK("https://svao.dolgi.msk.ru/account/1768011561/", 1768011561)</f>
        <v>1768011561</v>
      </c>
      <c r="D3475">
        <v>13885.1</v>
      </c>
    </row>
    <row r="3476" spans="1:4" x14ac:dyDescent="0.25">
      <c r="A3476" t="s">
        <v>467</v>
      </c>
      <c r="B3476" t="s">
        <v>99</v>
      </c>
      <c r="C3476" s="2">
        <f>HYPERLINK("https://svao.dolgi.msk.ru/account/1768011596/", 1768011596)</f>
        <v>1768011596</v>
      </c>
      <c r="D3476">
        <v>3144.24</v>
      </c>
    </row>
    <row r="3477" spans="1:4" x14ac:dyDescent="0.25">
      <c r="A3477" t="s">
        <v>467</v>
      </c>
      <c r="B3477" t="s">
        <v>86</v>
      </c>
      <c r="C3477" s="2">
        <f>HYPERLINK("https://svao.dolgi.msk.ru/account/1768011617/", 1768011617)</f>
        <v>1768011617</v>
      </c>
      <c r="D3477">
        <v>5726.16</v>
      </c>
    </row>
    <row r="3478" spans="1:4" x14ac:dyDescent="0.25">
      <c r="A3478" t="s">
        <v>467</v>
      </c>
      <c r="B3478" t="s">
        <v>304</v>
      </c>
      <c r="C3478" s="2">
        <f>HYPERLINK("https://svao.dolgi.msk.ru/account/1768011684/", 1768011684)</f>
        <v>1768011684</v>
      </c>
      <c r="D3478">
        <v>4331.51</v>
      </c>
    </row>
    <row r="3479" spans="1:4" x14ac:dyDescent="0.25">
      <c r="A3479" t="s">
        <v>467</v>
      </c>
      <c r="B3479" t="s">
        <v>37</v>
      </c>
      <c r="C3479" s="2">
        <f>HYPERLINK("https://svao.dolgi.msk.ru/account/1768011692/", 1768011692)</f>
        <v>1768011692</v>
      </c>
      <c r="D3479">
        <v>3109.29</v>
      </c>
    </row>
    <row r="3480" spans="1:4" x14ac:dyDescent="0.25">
      <c r="A3480" t="s">
        <v>467</v>
      </c>
      <c r="B3480" t="s">
        <v>38</v>
      </c>
      <c r="C3480" s="2">
        <f>HYPERLINK("https://svao.dolgi.msk.ru/account/1768005946/", 1768005946)</f>
        <v>1768005946</v>
      </c>
      <c r="D3480">
        <v>2501.0500000000002</v>
      </c>
    </row>
    <row r="3481" spans="1:4" x14ac:dyDescent="0.25">
      <c r="A3481" t="s">
        <v>467</v>
      </c>
      <c r="B3481" t="s">
        <v>40</v>
      </c>
      <c r="C3481" s="2">
        <f>HYPERLINK("https://svao.dolgi.msk.ru/account/1768011705/", 1768011705)</f>
        <v>1768011705</v>
      </c>
      <c r="D3481">
        <v>4439.9799999999996</v>
      </c>
    </row>
    <row r="3482" spans="1:4" x14ac:dyDescent="0.25">
      <c r="A3482" t="s">
        <v>468</v>
      </c>
      <c r="B3482" t="s">
        <v>41</v>
      </c>
      <c r="C3482" s="2">
        <f>HYPERLINK("https://svao.dolgi.msk.ru/account/1760220465/", 1760220465)</f>
        <v>1760220465</v>
      </c>
      <c r="D3482">
        <v>2735.15</v>
      </c>
    </row>
    <row r="3483" spans="1:4" x14ac:dyDescent="0.25">
      <c r="A3483" t="s">
        <v>468</v>
      </c>
      <c r="B3483" t="s">
        <v>5</v>
      </c>
      <c r="C3483" s="2">
        <f>HYPERLINK("https://svao.dolgi.msk.ru/account/1760220473/", 1760220473)</f>
        <v>1760220473</v>
      </c>
      <c r="D3483">
        <v>390.62</v>
      </c>
    </row>
    <row r="3484" spans="1:4" x14ac:dyDescent="0.25">
      <c r="A3484" t="s">
        <v>468</v>
      </c>
      <c r="B3484" t="s">
        <v>141</v>
      </c>
      <c r="C3484" s="2">
        <f>HYPERLINK("https://svao.dolgi.msk.ru/account/1760220545/", 1760220545)</f>
        <v>1760220545</v>
      </c>
      <c r="D3484">
        <v>3644.31</v>
      </c>
    </row>
    <row r="3485" spans="1:4" x14ac:dyDescent="0.25">
      <c r="A3485" t="s">
        <v>468</v>
      </c>
      <c r="B3485" t="s">
        <v>103</v>
      </c>
      <c r="C3485" s="2">
        <f>HYPERLINK("https://svao.dolgi.msk.ru/account/1760220588/", 1760220588)</f>
        <v>1760220588</v>
      </c>
      <c r="D3485">
        <v>5554.75</v>
      </c>
    </row>
    <row r="3486" spans="1:4" x14ac:dyDescent="0.25">
      <c r="A3486" t="s">
        <v>468</v>
      </c>
      <c r="B3486" t="s">
        <v>73</v>
      </c>
      <c r="C3486" s="2">
        <f>HYPERLINK("https://svao.dolgi.msk.ru/account/1760220596/", 1760220596)</f>
        <v>1760220596</v>
      </c>
      <c r="D3486">
        <v>9055.2999999999993</v>
      </c>
    </row>
    <row r="3487" spans="1:4" x14ac:dyDescent="0.25">
      <c r="A3487" t="s">
        <v>468</v>
      </c>
      <c r="B3487" t="s">
        <v>8</v>
      </c>
      <c r="C3487" s="2">
        <f>HYPERLINK("https://svao.dolgi.msk.ru/account/1760220617/", 1760220617)</f>
        <v>1760220617</v>
      </c>
      <c r="D3487">
        <v>1907.36</v>
      </c>
    </row>
    <row r="3488" spans="1:4" x14ac:dyDescent="0.25">
      <c r="A3488" t="s">
        <v>468</v>
      </c>
      <c r="B3488" t="s">
        <v>74</v>
      </c>
      <c r="C3488" s="2">
        <f>HYPERLINK("https://svao.dolgi.msk.ru/account/1760260264/", 1760260264)</f>
        <v>1760260264</v>
      </c>
      <c r="D3488">
        <v>6904.08</v>
      </c>
    </row>
    <row r="3489" spans="1:4" x14ac:dyDescent="0.25">
      <c r="A3489" t="s">
        <v>468</v>
      </c>
      <c r="B3489" t="s">
        <v>12</v>
      </c>
      <c r="C3489" s="2">
        <f>HYPERLINK("https://svao.dolgi.msk.ru/account/1760220721/", 1760220721)</f>
        <v>1760220721</v>
      </c>
      <c r="D3489">
        <v>5100.8100000000004</v>
      </c>
    </row>
    <row r="3490" spans="1:4" x14ac:dyDescent="0.25">
      <c r="A3490" t="s">
        <v>468</v>
      </c>
      <c r="B3490" t="s">
        <v>14</v>
      </c>
      <c r="C3490" s="2">
        <f>HYPERLINK("https://svao.dolgi.msk.ru/account/1760220756/", 1760220756)</f>
        <v>1760220756</v>
      </c>
      <c r="D3490">
        <v>3044.7</v>
      </c>
    </row>
    <row r="3491" spans="1:4" x14ac:dyDescent="0.25">
      <c r="A3491" t="s">
        <v>468</v>
      </c>
      <c r="B3491" t="s">
        <v>14</v>
      </c>
      <c r="C3491" s="2">
        <f>HYPERLINK("https://svao.dolgi.msk.ru/account/1760260352/", 1760260352)</f>
        <v>1760260352</v>
      </c>
      <c r="D3491">
        <v>2504.67</v>
      </c>
    </row>
    <row r="3492" spans="1:4" x14ac:dyDescent="0.25">
      <c r="A3492" t="s">
        <v>468</v>
      </c>
      <c r="B3492" t="s">
        <v>16</v>
      </c>
      <c r="C3492" s="2">
        <f>HYPERLINK("https://svao.dolgi.msk.ru/account/1760220801/", 1760220801)</f>
        <v>1760220801</v>
      </c>
      <c r="D3492">
        <v>6541.23</v>
      </c>
    </row>
    <row r="3493" spans="1:4" x14ac:dyDescent="0.25">
      <c r="A3493" t="s">
        <v>468</v>
      </c>
      <c r="B3493" t="s">
        <v>19</v>
      </c>
      <c r="C3493" s="2">
        <f>HYPERLINK("https://svao.dolgi.msk.ru/account/1760220895/", 1760220895)</f>
        <v>1760220895</v>
      </c>
      <c r="D3493">
        <v>3190.7</v>
      </c>
    </row>
    <row r="3494" spans="1:4" x14ac:dyDescent="0.25">
      <c r="A3494" t="s">
        <v>468</v>
      </c>
      <c r="B3494" t="s">
        <v>109</v>
      </c>
      <c r="C3494" s="2">
        <f>HYPERLINK("https://svao.dolgi.msk.ru/account/1760220844/", 1760220844)</f>
        <v>1760220844</v>
      </c>
      <c r="D3494">
        <v>3822.89</v>
      </c>
    </row>
    <row r="3495" spans="1:4" x14ac:dyDescent="0.25">
      <c r="A3495" t="s">
        <v>468</v>
      </c>
      <c r="B3495" t="s">
        <v>92</v>
      </c>
      <c r="C3495" s="2">
        <f>HYPERLINK("https://svao.dolgi.msk.ru/account/1760220887/", 1760220887)</f>
        <v>1760220887</v>
      </c>
      <c r="D3495">
        <v>4361.25</v>
      </c>
    </row>
    <row r="3496" spans="1:4" x14ac:dyDescent="0.25">
      <c r="A3496" t="s">
        <v>468</v>
      </c>
      <c r="B3496" t="s">
        <v>93</v>
      </c>
      <c r="C3496" s="2">
        <f>HYPERLINK("https://svao.dolgi.msk.ru/account/1760260272/", 1760260272)</f>
        <v>1760260272</v>
      </c>
      <c r="D3496">
        <v>39797.160000000003</v>
      </c>
    </row>
    <row r="3497" spans="1:4" x14ac:dyDescent="0.25">
      <c r="A3497" t="s">
        <v>468</v>
      </c>
      <c r="B3497" t="s">
        <v>22</v>
      </c>
      <c r="C3497" s="2">
        <f>HYPERLINK("https://svao.dolgi.msk.ru/account/1760260416/", 1760260416)</f>
        <v>1760260416</v>
      </c>
      <c r="D3497">
        <v>2628.95</v>
      </c>
    </row>
    <row r="3498" spans="1:4" x14ac:dyDescent="0.25">
      <c r="A3498" t="s">
        <v>468</v>
      </c>
      <c r="B3498" t="s">
        <v>117</v>
      </c>
      <c r="C3498" s="2">
        <f>HYPERLINK("https://svao.dolgi.msk.ru/account/1760260475/", 1760260475)</f>
        <v>1760260475</v>
      </c>
      <c r="D3498">
        <v>1086.1199999999999</v>
      </c>
    </row>
    <row r="3499" spans="1:4" x14ac:dyDescent="0.25">
      <c r="A3499" t="s">
        <v>468</v>
      </c>
      <c r="B3499" t="s">
        <v>320</v>
      </c>
      <c r="C3499" s="2">
        <f>HYPERLINK("https://svao.dolgi.msk.ru/account/1760260491/", 1760260491)</f>
        <v>1760260491</v>
      </c>
      <c r="D3499">
        <v>16637.349999999999</v>
      </c>
    </row>
    <row r="3500" spans="1:4" x14ac:dyDescent="0.25">
      <c r="A3500" t="s">
        <v>468</v>
      </c>
      <c r="B3500" t="s">
        <v>131</v>
      </c>
      <c r="C3500" s="2">
        <f>HYPERLINK("https://svao.dolgi.msk.ru/account/1760260555/", 1760260555)</f>
        <v>1760260555</v>
      </c>
      <c r="D3500">
        <v>9919.24</v>
      </c>
    </row>
    <row r="3501" spans="1:4" x14ac:dyDescent="0.25">
      <c r="A3501" t="s">
        <v>468</v>
      </c>
      <c r="B3501" t="s">
        <v>80</v>
      </c>
      <c r="C3501" s="2">
        <f>HYPERLINK("https://svao.dolgi.msk.ru/account/1760260598/", 1760260598)</f>
        <v>1760260598</v>
      </c>
      <c r="D3501">
        <v>2360.73</v>
      </c>
    </row>
    <row r="3502" spans="1:4" x14ac:dyDescent="0.25">
      <c r="A3502" t="s">
        <v>468</v>
      </c>
      <c r="B3502" t="s">
        <v>118</v>
      </c>
      <c r="C3502" s="2">
        <f>HYPERLINK("https://svao.dolgi.msk.ru/account/1760260619/", 1760260619)</f>
        <v>1760260619</v>
      </c>
      <c r="D3502">
        <v>4968.38</v>
      </c>
    </row>
    <row r="3503" spans="1:4" x14ac:dyDescent="0.25">
      <c r="A3503" t="s">
        <v>468</v>
      </c>
      <c r="B3503" t="s">
        <v>128</v>
      </c>
      <c r="C3503" s="2">
        <f>HYPERLINK("https://svao.dolgi.msk.ru/account/1760260686/", 1760260686)</f>
        <v>1760260686</v>
      </c>
      <c r="D3503">
        <v>5972.48</v>
      </c>
    </row>
    <row r="3504" spans="1:4" x14ac:dyDescent="0.25">
      <c r="A3504" t="s">
        <v>468</v>
      </c>
      <c r="B3504" t="s">
        <v>132</v>
      </c>
      <c r="C3504" s="2">
        <f>HYPERLINK("https://svao.dolgi.msk.ru/account/1760260731/", 1760260731)</f>
        <v>1760260731</v>
      </c>
      <c r="D3504">
        <v>5438.14</v>
      </c>
    </row>
    <row r="3505" spans="1:4" x14ac:dyDescent="0.25">
      <c r="A3505" t="s">
        <v>468</v>
      </c>
      <c r="B3505" t="s">
        <v>26</v>
      </c>
      <c r="C3505" s="2">
        <f>HYPERLINK("https://svao.dolgi.msk.ru/account/1760260758/", 1760260758)</f>
        <v>1760260758</v>
      </c>
      <c r="D3505">
        <v>1733.71</v>
      </c>
    </row>
    <row r="3506" spans="1:4" x14ac:dyDescent="0.25">
      <c r="A3506" t="s">
        <v>468</v>
      </c>
      <c r="B3506" t="s">
        <v>290</v>
      </c>
      <c r="C3506" s="2">
        <f>HYPERLINK("https://svao.dolgi.msk.ru/account/1760260803/", 1760260803)</f>
        <v>1760260803</v>
      </c>
      <c r="D3506">
        <v>1872.25</v>
      </c>
    </row>
    <row r="3507" spans="1:4" x14ac:dyDescent="0.25">
      <c r="A3507" t="s">
        <v>468</v>
      </c>
      <c r="B3507" t="s">
        <v>134</v>
      </c>
      <c r="C3507" s="2">
        <f>HYPERLINK("https://svao.dolgi.msk.ru/account/1760260846/", 1760260846)</f>
        <v>1760260846</v>
      </c>
      <c r="D3507">
        <v>463.24</v>
      </c>
    </row>
    <row r="3508" spans="1:4" x14ac:dyDescent="0.25">
      <c r="A3508" t="s">
        <v>469</v>
      </c>
      <c r="B3508" t="s">
        <v>84</v>
      </c>
      <c r="C3508" s="2">
        <f>HYPERLINK("https://svao.dolgi.msk.ru/account/1760224642/", 1760224642)</f>
        <v>1760224642</v>
      </c>
      <c r="D3508">
        <v>453.85</v>
      </c>
    </row>
    <row r="3509" spans="1:4" x14ac:dyDescent="0.25">
      <c r="A3509" t="s">
        <v>469</v>
      </c>
      <c r="B3509" t="s">
        <v>291</v>
      </c>
      <c r="C3509" s="2">
        <f>HYPERLINK("https://svao.dolgi.msk.ru/account/1760224685/", 1760224685)</f>
        <v>1760224685</v>
      </c>
      <c r="D3509">
        <v>83141.48</v>
      </c>
    </row>
    <row r="3510" spans="1:4" x14ac:dyDescent="0.25">
      <c r="A3510" t="s">
        <v>469</v>
      </c>
      <c r="B3510" t="s">
        <v>85</v>
      </c>
      <c r="C3510" s="2">
        <f>HYPERLINK("https://svao.dolgi.msk.ru/account/1760224714/", 1760224714)</f>
        <v>1760224714</v>
      </c>
      <c r="D3510">
        <v>4927.8500000000004</v>
      </c>
    </row>
    <row r="3511" spans="1:4" x14ac:dyDescent="0.25">
      <c r="A3511" t="s">
        <v>469</v>
      </c>
      <c r="B3511" t="s">
        <v>33</v>
      </c>
      <c r="C3511" s="2">
        <f>HYPERLINK("https://svao.dolgi.msk.ru/account/1760224722/", 1760224722)</f>
        <v>1760224722</v>
      </c>
      <c r="D3511">
        <v>3529.75</v>
      </c>
    </row>
    <row r="3512" spans="1:4" x14ac:dyDescent="0.25">
      <c r="A3512" t="s">
        <v>469</v>
      </c>
      <c r="B3512" t="s">
        <v>34</v>
      </c>
      <c r="C3512" s="2">
        <f>HYPERLINK("https://svao.dolgi.msk.ru/account/1760224749/", 1760224749)</f>
        <v>1760224749</v>
      </c>
      <c r="D3512">
        <v>3971.15</v>
      </c>
    </row>
    <row r="3513" spans="1:4" x14ac:dyDescent="0.25">
      <c r="A3513" t="s">
        <v>469</v>
      </c>
      <c r="B3513" t="s">
        <v>135</v>
      </c>
      <c r="C3513" s="2">
        <f>HYPERLINK("https://svao.dolgi.msk.ru/account/1760224765/", 1760224765)</f>
        <v>1760224765</v>
      </c>
      <c r="D3513">
        <v>4793.0200000000004</v>
      </c>
    </row>
    <row r="3514" spans="1:4" x14ac:dyDescent="0.25">
      <c r="A3514" t="s">
        <v>469</v>
      </c>
      <c r="B3514" t="s">
        <v>86</v>
      </c>
      <c r="C3514" s="2">
        <f>HYPERLINK("https://svao.dolgi.msk.ru/account/1760224773/", 1760224773)</f>
        <v>1760224773</v>
      </c>
      <c r="D3514">
        <v>4063.97</v>
      </c>
    </row>
    <row r="3515" spans="1:4" x14ac:dyDescent="0.25">
      <c r="A3515" t="s">
        <v>469</v>
      </c>
      <c r="B3515" t="s">
        <v>246</v>
      </c>
      <c r="C3515" s="2">
        <f>HYPERLINK("https://svao.dolgi.msk.ru/account/1760224896/", 1760224896)</f>
        <v>1760224896</v>
      </c>
      <c r="D3515">
        <v>743.02</v>
      </c>
    </row>
    <row r="3516" spans="1:4" x14ac:dyDescent="0.25">
      <c r="A3516" t="s">
        <v>469</v>
      </c>
      <c r="B3516" t="s">
        <v>40</v>
      </c>
      <c r="C3516" s="2">
        <f>HYPERLINK("https://svao.dolgi.msk.ru/account/1760224909/", 1760224909)</f>
        <v>1760224909</v>
      </c>
      <c r="D3516">
        <v>3168.66</v>
      </c>
    </row>
    <row r="3517" spans="1:4" x14ac:dyDescent="0.25">
      <c r="A3517" t="s">
        <v>469</v>
      </c>
      <c r="B3517" t="s">
        <v>140</v>
      </c>
      <c r="C3517" s="2">
        <f>HYPERLINK("https://svao.dolgi.msk.ru/account/1760225696/", 1760225696)</f>
        <v>1760225696</v>
      </c>
      <c r="D3517">
        <v>57988.28</v>
      </c>
    </row>
    <row r="3518" spans="1:4" x14ac:dyDescent="0.25">
      <c r="A3518" t="s">
        <v>469</v>
      </c>
      <c r="B3518" t="s">
        <v>301</v>
      </c>
      <c r="C3518" s="2">
        <f>HYPERLINK("https://svao.dolgi.msk.ru/account/1760225039/", 1760225039)</f>
        <v>1760225039</v>
      </c>
      <c r="D3518">
        <v>4247.3500000000004</v>
      </c>
    </row>
    <row r="3519" spans="1:4" x14ac:dyDescent="0.25">
      <c r="A3519" t="s">
        <v>469</v>
      </c>
      <c r="B3519" t="s">
        <v>145</v>
      </c>
      <c r="C3519" s="2">
        <f>HYPERLINK("https://svao.dolgi.msk.ru/account/1760225063/", 1760225063)</f>
        <v>1760225063</v>
      </c>
      <c r="D3519">
        <v>1548.21</v>
      </c>
    </row>
    <row r="3520" spans="1:4" x14ac:dyDescent="0.25">
      <c r="A3520" t="s">
        <v>469</v>
      </c>
      <c r="B3520" t="s">
        <v>47</v>
      </c>
      <c r="C3520" s="2">
        <f>HYPERLINK("https://svao.dolgi.msk.ru/account/1760225119/", 1760225119)</f>
        <v>1760225119</v>
      </c>
      <c r="D3520">
        <v>6513.51</v>
      </c>
    </row>
    <row r="3521" spans="1:4" x14ac:dyDescent="0.25">
      <c r="A3521" t="s">
        <v>469</v>
      </c>
      <c r="B3521" t="s">
        <v>250</v>
      </c>
      <c r="C3521" s="2">
        <f>HYPERLINK("https://svao.dolgi.msk.ru/account/1760225127/", 1760225127)</f>
        <v>1760225127</v>
      </c>
      <c r="D3521">
        <v>5176.25</v>
      </c>
    </row>
    <row r="3522" spans="1:4" x14ac:dyDescent="0.25">
      <c r="A3522" t="s">
        <v>469</v>
      </c>
      <c r="B3522" t="s">
        <v>49</v>
      </c>
      <c r="C3522" s="2">
        <f>HYPERLINK("https://svao.dolgi.msk.ru/account/1760225151/", 1760225151)</f>
        <v>1760225151</v>
      </c>
      <c r="D3522">
        <v>3439.65</v>
      </c>
    </row>
    <row r="3523" spans="1:4" x14ac:dyDescent="0.25">
      <c r="A3523" t="s">
        <v>469</v>
      </c>
      <c r="B3523" t="s">
        <v>50</v>
      </c>
      <c r="C3523" s="2">
        <f>HYPERLINK("https://svao.dolgi.msk.ru/account/1760225223/", 1760225223)</f>
        <v>1760225223</v>
      </c>
      <c r="D3523">
        <v>14617.54</v>
      </c>
    </row>
    <row r="3524" spans="1:4" x14ac:dyDescent="0.25">
      <c r="A3524" t="s">
        <v>469</v>
      </c>
      <c r="B3524" t="s">
        <v>52</v>
      </c>
      <c r="C3524" s="2">
        <f>HYPERLINK("https://svao.dolgi.msk.ru/account/1760225274/", 1760225274)</f>
        <v>1760225274</v>
      </c>
      <c r="D3524">
        <v>5284.73</v>
      </c>
    </row>
    <row r="3525" spans="1:4" x14ac:dyDescent="0.25">
      <c r="A3525" t="s">
        <v>469</v>
      </c>
      <c r="B3525" t="s">
        <v>316</v>
      </c>
      <c r="C3525" s="2">
        <f>HYPERLINK("https://svao.dolgi.msk.ru/account/1760225282/", 1760225282)</f>
        <v>1760225282</v>
      </c>
      <c r="D3525">
        <v>785.88</v>
      </c>
    </row>
    <row r="3526" spans="1:4" x14ac:dyDescent="0.25">
      <c r="A3526" t="s">
        <v>469</v>
      </c>
      <c r="B3526" t="s">
        <v>148</v>
      </c>
      <c r="C3526" s="2">
        <f>HYPERLINK("https://svao.dolgi.msk.ru/account/1760225303/", 1760225303)</f>
        <v>1760225303</v>
      </c>
      <c r="D3526">
        <v>2888.4</v>
      </c>
    </row>
    <row r="3527" spans="1:4" x14ac:dyDescent="0.25">
      <c r="A3527" t="s">
        <v>469</v>
      </c>
      <c r="B3527" t="s">
        <v>296</v>
      </c>
      <c r="C3527" s="2">
        <f>HYPERLINK("https://svao.dolgi.msk.ru/account/1760225389/", 1760225389)</f>
        <v>1760225389</v>
      </c>
      <c r="D3527">
        <v>3746.96</v>
      </c>
    </row>
    <row r="3528" spans="1:4" x14ac:dyDescent="0.25">
      <c r="A3528" t="s">
        <v>469</v>
      </c>
      <c r="B3528" t="s">
        <v>53</v>
      </c>
      <c r="C3528" s="2">
        <f>HYPERLINK("https://svao.dolgi.msk.ru/account/1760225426/", 1760225426)</f>
        <v>1760225426</v>
      </c>
      <c r="D3528">
        <v>4242.47</v>
      </c>
    </row>
    <row r="3529" spans="1:4" x14ac:dyDescent="0.25">
      <c r="A3529" t="s">
        <v>469</v>
      </c>
      <c r="B3529" t="s">
        <v>54</v>
      </c>
      <c r="C3529" s="2">
        <f>HYPERLINK("https://svao.dolgi.msk.ru/account/1760225442/", 1760225442)</f>
        <v>1760225442</v>
      </c>
      <c r="D3529">
        <v>1075.1199999999999</v>
      </c>
    </row>
    <row r="3530" spans="1:4" x14ac:dyDescent="0.25">
      <c r="A3530" t="s">
        <v>469</v>
      </c>
      <c r="B3530" t="s">
        <v>428</v>
      </c>
      <c r="C3530" s="2">
        <f>HYPERLINK("https://svao.dolgi.msk.ru/account/1760225469/", 1760225469)</f>
        <v>1760225469</v>
      </c>
      <c r="D3530">
        <v>4749.13</v>
      </c>
    </row>
    <row r="3531" spans="1:4" x14ac:dyDescent="0.25">
      <c r="A3531" t="s">
        <v>469</v>
      </c>
      <c r="B3531" t="s">
        <v>254</v>
      </c>
      <c r="C3531" s="2">
        <f>HYPERLINK("https://svao.dolgi.msk.ru/account/1760225493/", 1760225493)</f>
        <v>1760225493</v>
      </c>
      <c r="D3531">
        <v>10095.15</v>
      </c>
    </row>
    <row r="3532" spans="1:4" x14ac:dyDescent="0.25">
      <c r="A3532" t="s">
        <v>469</v>
      </c>
      <c r="B3532" t="s">
        <v>318</v>
      </c>
      <c r="C3532" s="2">
        <f>HYPERLINK("https://svao.dolgi.msk.ru/account/1760225506/", 1760225506)</f>
        <v>1760225506</v>
      </c>
      <c r="D3532">
        <v>3151.64</v>
      </c>
    </row>
    <row r="3533" spans="1:4" x14ac:dyDescent="0.25">
      <c r="A3533" t="s">
        <v>469</v>
      </c>
      <c r="B3533" t="s">
        <v>255</v>
      </c>
      <c r="C3533" s="2">
        <f>HYPERLINK("https://svao.dolgi.msk.ru/account/1760225514/", 1760225514)</f>
        <v>1760225514</v>
      </c>
      <c r="D3533">
        <v>3801.11</v>
      </c>
    </row>
    <row r="3534" spans="1:4" x14ac:dyDescent="0.25">
      <c r="A3534" t="s">
        <v>469</v>
      </c>
      <c r="B3534" t="s">
        <v>327</v>
      </c>
      <c r="C3534" s="2">
        <f>HYPERLINK("https://svao.dolgi.msk.ru/account/1760225573/", 1760225573)</f>
        <v>1760225573</v>
      </c>
      <c r="D3534">
        <v>5958.18</v>
      </c>
    </row>
    <row r="3535" spans="1:4" x14ac:dyDescent="0.25">
      <c r="A3535" t="s">
        <v>469</v>
      </c>
      <c r="B3535" t="s">
        <v>154</v>
      </c>
      <c r="C3535" s="2">
        <f>HYPERLINK("https://svao.dolgi.msk.ru/account/1760225602/", 1760225602)</f>
        <v>1760225602</v>
      </c>
      <c r="D3535">
        <v>5732.51</v>
      </c>
    </row>
    <row r="3536" spans="1:4" x14ac:dyDescent="0.25">
      <c r="A3536" t="s">
        <v>469</v>
      </c>
      <c r="B3536" t="s">
        <v>156</v>
      </c>
      <c r="C3536" s="2">
        <f>HYPERLINK("https://svao.dolgi.msk.ru/account/1760225661/", 1760225661)</f>
        <v>1760225661</v>
      </c>
      <c r="D3536">
        <v>10514.92</v>
      </c>
    </row>
    <row r="3537" spans="1:4" x14ac:dyDescent="0.25">
      <c r="A3537" t="s">
        <v>469</v>
      </c>
      <c r="B3537" t="s">
        <v>157</v>
      </c>
      <c r="C3537" s="2">
        <f>HYPERLINK("https://svao.dolgi.msk.ru/account/1760225688/", 1760225688)</f>
        <v>1760225688</v>
      </c>
      <c r="D3537">
        <v>4455.55</v>
      </c>
    </row>
    <row r="3538" spans="1:4" x14ac:dyDescent="0.25">
      <c r="A3538" t="s">
        <v>470</v>
      </c>
      <c r="B3538" t="s">
        <v>101</v>
      </c>
      <c r="C3538" s="2">
        <f>HYPERLINK("https://svao.dolgi.msk.ru/account/1760218728/", 1760218728)</f>
        <v>1760218728</v>
      </c>
      <c r="D3538">
        <v>24158.62</v>
      </c>
    </row>
    <row r="3539" spans="1:4" x14ac:dyDescent="0.25">
      <c r="A3539" t="s">
        <v>470</v>
      </c>
      <c r="B3539" t="s">
        <v>102</v>
      </c>
      <c r="C3539" s="2">
        <f>HYPERLINK("https://svao.dolgi.msk.ru/account/1760218752/", 1760218752)</f>
        <v>1760218752</v>
      </c>
      <c r="D3539">
        <v>25143.62</v>
      </c>
    </row>
    <row r="3540" spans="1:4" x14ac:dyDescent="0.25">
      <c r="A3540" t="s">
        <v>470</v>
      </c>
      <c r="B3540" t="s">
        <v>104</v>
      </c>
      <c r="C3540" s="2">
        <f>HYPERLINK("https://svao.dolgi.msk.ru/account/1760218795/", 1760218795)</f>
        <v>1760218795</v>
      </c>
      <c r="D3540">
        <v>4637.1000000000004</v>
      </c>
    </row>
    <row r="3541" spans="1:4" x14ac:dyDescent="0.25">
      <c r="A3541" t="s">
        <v>470</v>
      </c>
      <c r="B3541" t="s">
        <v>91</v>
      </c>
      <c r="C3541" s="2">
        <f>HYPERLINK("https://svao.dolgi.msk.ru/account/1760218867/", 1760218867)</f>
        <v>1760218867</v>
      </c>
      <c r="D3541">
        <v>3405.32</v>
      </c>
    </row>
    <row r="3542" spans="1:4" x14ac:dyDescent="0.25">
      <c r="A3542" t="s">
        <v>470</v>
      </c>
      <c r="B3542" t="s">
        <v>219</v>
      </c>
      <c r="C3542" s="2">
        <f>HYPERLINK("https://svao.dolgi.msk.ru/account/1760218875/", 1760218875)</f>
        <v>1760218875</v>
      </c>
      <c r="D3542">
        <v>92173.78</v>
      </c>
    </row>
    <row r="3543" spans="1:4" x14ac:dyDescent="0.25">
      <c r="A3543" t="s">
        <v>470</v>
      </c>
      <c r="B3543" t="s">
        <v>106</v>
      </c>
      <c r="C3543" s="2">
        <f>HYPERLINK("https://svao.dolgi.msk.ru/account/1760218947/", 1760218947)</f>
        <v>1760218947</v>
      </c>
      <c r="D3543">
        <v>16405.27</v>
      </c>
    </row>
    <row r="3544" spans="1:4" x14ac:dyDescent="0.25">
      <c r="A3544" t="s">
        <v>470</v>
      </c>
      <c r="B3544" t="s">
        <v>107</v>
      </c>
      <c r="C3544" s="2">
        <f>HYPERLINK("https://svao.dolgi.msk.ru/account/1760218955/", 1760218955)</f>
        <v>1760218955</v>
      </c>
      <c r="D3544">
        <v>13049.27</v>
      </c>
    </row>
    <row r="3545" spans="1:4" x14ac:dyDescent="0.25">
      <c r="A3545" t="s">
        <v>470</v>
      </c>
      <c r="B3545" t="s">
        <v>15</v>
      </c>
      <c r="C3545" s="2">
        <f>HYPERLINK("https://svao.dolgi.msk.ru/account/1760218963/", 1760218963)</f>
        <v>1760218963</v>
      </c>
      <c r="D3545">
        <v>5521.88</v>
      </c>
    </row>
    <row r="3546" spans="1:4" x14ac:dyDescent="0.25">
      <c r="A3546" t="s">
        <v>470</v>
      </c>
      <c r="B3546" t="s">
        <v>108</v>
      </c>
      <c r="C3546" s="2">
        <f>HYPERLINK("https://svao.dolgi.msk.ru/account/1760220414/", 1760220414)</f>
        <v>1760220414</v>
      </c>
      <c r="D3546">
        <v>7800.59</v>
      </c>
    </row>
    <row r="3547" spans="1:4" x14ac:dyDescent="0.25">
      <c r="A3547" t="s">
        <v>470</v>
      </c>
      <c r="B3547" t="s">
        <v>19</v>
      </c>
      <c r="C3547" s="2">
        <f>HYPERLINK("https://svao.dolgi.msk.ru/account/1760219026/", 1760219026)</f>
        <v>1760219026</v>
      </c>
      <c r="D3547">
        <v>5052.6400000000003</v>
      </c>
    </row>
    <row r="3548" spans="1:4" x14ac:dyDescent="0.25">
      <c r="A3548" t="s">
        <v>470</v>
      </c>
      <c r="B3548" t="s">
        <v>110</v>
      </c>
      <c r="C3548" s="2">
        <f>HYPERLINK("https://svao.dolgi.msk.ru/account/1760219042/", 1760219042)</f>
        <v>1760219042</v>
      </c>
      <c r="D3548">
        <v>5706.05</v>
      </c>
    </row>
    <row r="3549" spans="1:4" x14ac:dyDescent="0.25">
      <c r="A3549" t="s">
        <v>470</v>
      </c>
      <c r="B3549" t="s">
        <v>76</v>
      </c>
      <c r="C3549" s="2">
        <f>HYPERLINK("https://svao.dolgi.msk.ru/account/1760219077/", 1760219077)</f>
        <v>1760219077</v>
      </c>
      <c r="D3549">
        <v>20499.990000000002</v>
      </c>
    </row>
    <row r="3550" spans="1:4" x14ac:dyDescent="0.25">
      <c r="A3550" t="s">
        <v>470</v>
      </c>
      <c r="B3550" t="s">
        <v>92</v>
      </c>
      <c r="C3550" s="2">
        <f>HYPERLINK("https://svao.dolgi.msk.ru/account/1760219085/", 1760219085)</f>
        <v>1760219085</v>
      </c>
      <c r="D3550">
        <v>4599.41</v>
      </c>
    </row>
    <row r="3551" spans="1:4" x14ac:dyDescent="0.25">
      <c r="A3551" t="s">
        <v>470</v>
      </c>
      <c r="B3551" t="s">
        <v>23</v>
      </c>
      <c r="C3551" s="2">
        <f>HYPERLINK("https://svao.dolgi.msk.ru/account/1760219237/", 1760219237)</f>
        <v>1760219237</v>
      </c>
      <c r="D3551">
        <v>258320.68</v>
      </c>
    </row>
    <row r="3552" spans="1:4" x14ac:dyDescent="0.25">
      <c r="A3552" t="s">
        <v>470</v>
      </c>
      <c r="B3552" t="s">
        <v>24</v>
      </c>
      <c r="C3552" s="2">
        <f>HYPERLINK("https://svao.dolgi.msk.ru/account/1760219296/", 1760219296)</f>
        <v>1760219296</v>
      </c>
      <c r="D3552">
        <v>6571.24</v>
      </c>
    </row>
    <row r="3553" spans="1:4" x14ac:dyDescent="0.25">
      <c r="A3553" t="s">
        <v>470</v>
      </c>
      <c r="B3553" t="s">
        <v>242</v>
      </c>
      <c r="C3553" s="2">
        <f>HYPERLINK("https://svao.dolgi.msk.ru/account/1760219317/", 1760219317)</f>
        <v>1760219317</v>
      </c>
      <c r="D3553">
        <v>128.19999999999999</v>
      </c>
    </row>
    <row r="3554" spans="1:4" x14ac:dyDescent="0.25">
      <c r="A3554" t="s">
        <v>470</v>
      </c>
      <c r="B3554" t="s">
        <v>95</v>
      </c>
      <c r="C3554" s="2">
        <f>HYPERLINK("https://svao.dolgi.msk.ru/account/1760219325/", 1760219325)</f>
        <v>1760219325</v>
      </c>
      <c r="D3554">
        <v>3409.37</v>
      </c>
    </row>
    <row r="3555" spans="1:4" x14ac:dyDescent="0.25">
      <c r="A3555" t="s">
        <v>470</v>
      </c>
      <c r="B3555" t="s">
        <v>131</v>
      </c>
      <c r="C3555" s="2">
        <f>HYPERLINK("https://svao.dolgi.msk.ru/account/1760219333/", 1760219333)</f>
        <v>1760219333</v>
      </c>
      <c r="D3555">
        <v>3848.1</v>
      </c>
    </row>
    <row r="3556" spans="1:4" x14ac:dyDescent="0.25">
      <c r="A3556" t="s">
        <v>470</v>
      </c>
      <c r="B3556" t="s">
        <v>118</v>
      </c>
      <c r="C3556" s="2">
        <f>HYPERLINK("https://svao.dolgi.msk.ru/account/1760219384/", 1760219384)</f>
        <v>1760219384</v>
      </c>
      <c r="D3556">
        <v>1519.87</v>
      </c>
    </row>
    <row r="3557" spans="1:4" x14ac:dyDescent="0.25">
      <c r="A3557" t="s">
        <v>470</v>
      </c>
      <c r="B3557" t="s">
        <v>119</v>
      </c>
      <c r="C3557" s="2">
        <f>HYPERLINK("https://svao.dolgi.msk.ru/account/1760219413/", 1760219413)</f>
        <v>1760219413</v>
      </c>
      <c r="D3557">
        <v>11148.13</v>
      </c>
    </row>
    <row r="3558" spans="1:4" x14ac:dyDescent="0.25">
      <c r="A3558" t="s">
        <v>470</v>
      </c>
      <c r="B3558" t="s">
        <v>128</v>
      </c>
      <c r="C3558" s="2">
        <f>HYPERLINK("https://svao.dolgi.msk.ru/account/1760219456/", 1760219456)</f>
        <v>1760219456</v>
      </c>
      <c r="D3558">
        <v>5243.77</v>
      </c>
    </row>
    <row r="3559" spans="1:4" x14ac:dyDescent="0.25">
      <c r="A3559" t="s">
        <v>470</v>
      </c>
      <c r="B3559" t="s">
        <v>128</v>
      </c>
      <c r="C3559" s="2">
        <f>HYPERLINK("https://svao.dolgi.msk.ru/account/1761790371/", 1761790371)</f>
        <v>1761790371</v>
      </c>
      <c r="D3559">
        <v>5466.37</v>
      </c>
    </row>
    <row r="3560" spans="1:4" x14ac:dyDescent="0.25">
      <c r="A3560" t="s">
        <v>470</v>
      </c>
      <c r="B3560" t="s">
        <v>25</v>
      </c>
      <c r="C3560" s="2">
        <f>HYPERLINK("https://svao.dolgi.msk.ru/account/1760219464/", 1760219464)</f>
        <v>1760219464</v>
      </c>
      <c r="D3560">
        <v>1869.02</v>
      </c>
    </row>
    <row r="3561" spans="1:4" x14ac:dyDescent="0.25">
      <c r="A3561" t="s">
        <v>470</v>
      </c>
      <c r="B3561" t="s">
        <v>83</v>
      </c>
      <c r="C3561" s="2">
        <f>HYPERLINK("https://svao.dolgi.msk.ru/account/1760219472/", 1760219472)</f>
        <v>1760219472</v>
      </c>
      <c r="D3561">
        <v>4597.8100000000004</v>
      </c>
    </row>
    <row r="3562" spans="1:4" x14ac:dyDescent="0.25">
      <c r="A3562" t="s">
        <v>470</v>
      </c>
      <c r="B3562" t="s">
        <v>96</v>
      </c>
      <c r="C3562" s="2">
        <f>HYPERLINK("https://svao.dolgi.msk.ru/account/1760219536/", 1760219536)</f>
        <v>1760219536</v>
      </c>
      <c r="D3562">
        <v>607.66999999999996</v>
      </c>
    </row>
    <row r="3563" spans="1:4" x14ac:dyDescent="0.25">
      <c r="A3563" t="s">
        <v>470</v>
      </c>
      <c r="B3563" t="s">
        <v>290</v>
      </c>
      <c r="C3563" s="2">
        <f>HYPERLINK("https://svao.dolgi.msk.ru/account/1760219552/", 1760219552)</f>
        <v>1760219552</v>
      </c>
      <c r="D3563">
        <v>3885.12</v>
      </c>
    </row>
    <row r="3564" spans="1:4" x14ac:dyDescent="0.25">
      <c r="A3564" t="s">
        <v>470</v>
      </c>
      <c r="B3564" t="s">
        <v>121</v>
      </c>
      <c r="C3564" s="2">
        <f>HYPERLINK("https://svao.dolgi.msk.ru/account/1760219587/", 1760219587)</f>
        <v>1760219587</v>
      </c>
      <c r="D3564">
        <v>96860.62</v>
      </c>
    </row>
    <row r="3565" spans="1:4" x14ac:dyDescent="0.25">
      <c r="A3565" t="s">
        <v>470</v>
      </c>
      <c r="B3565" t="s">
        <v>139</v>
      </c>
      <c r="C3565" s="2">
        <f>HYPERLINK("https://svao.dolgi.msk.ru/account/1760219608/", 1760219608)</f>
        <v>1760219608</v>
      </c>
      <c r="D3565">
        <v>8690.7099999999991</v>
      </c>
    </row>
    <row r="3566" spans="1:4" x14ac:dyDescent="0.25">
      <c r="A3566" t="s">
        <v>470</v>
      </c>
      <c r="B3566" t="s">
        <v>291</v>
      </c>
      <c r="C3566" s="2">
        <f>HYPERLINK("https://svao.dolgi.msk.ru/account/1760219704/", 1760219704)</f>
        <v>1760219704</v>
      </c>
      <c r="D3566">
        <v>5053.18</v>
      </c>
    </row>
    <row r="3567" spans="1:4" x14ac:dyDescent="0.25">
      <c r="A3567" t="s">
        <v>470</v>
      </c>
      <c r="B3567" t="s">
        <v>34</v>
      </c>
      <c r="C3567" s="2">
        <f>HYPERLINK("https://svao.dolgi.msk.ru/account/1760219763/", 1760219763)</f>
        <v>1760219763</v>
      </c>
      <c r="D3567">
        <v>4366.84</v>
      </c>
    </row>
    <row r="3568" spans="1:4" x14ac:dyDescent="0.25">
      <c r="A3568" t="s">
        <v>470</v>
      </c>
      <c r="B3568" t="s">
        <v>99</v>
      </c>
      <c r="C3568" s="2">
        <f>HYPERLINK("https://svao.dolgi.msk.ru/account/1760219798/", 1760219798)</f>
        <v>1760219798</v>
      </c>
      <c r="D3568">
        <v>3306.75</v>
      </c>
    </row>
    <row r="3569" spans="1:4" x14ac:dyDescent="0.25">
      <c r="A3569" t="s">
        <v>470</v>
      </c>
      <c r="B3569" t="s">
        <v>86</v>
      </c>
      <c r="C3569" s="2">
        <f>HYPERLINK("https://svao.dolgi.msk.ru/account/1760219827/", 1760219827)</f>
        <v>1760219827</v>
      </c>
      <c r="D3569">
        <v>5678.31</v>
      </c>
    </row>
    <row r="3570" spans="1:4" x14ac:dyDescent="0.25">
      <c r="A3570" t="s">
        <v>470</v>
      </c>
      <c r="B3570" t="s">
        <v>38</v>
      </c>
      <c r="C3570" s="2">
        <f>HYPERLINK("https://svao.dolgi.msk.ru/account/1760219915/", 1760219915)</f>
        <v>1760219915</v>
      </c>
      <c r="D3570">
        <v>10126.43</v>
      </c>
    </row>
    <row r="3571" spans="1:4" x14ac:dyDescent="0.25">
      <c r="A3571" t="s">
        <v>470</v>
      </c>
      <c r="B3571" t="s">
        <v>246</v>
      </c>
      <c r="C3571" s="2">
        <f>HYPERLINK("https://svao.dolgi.msk.ru/account/1760219923/", 1760219923)</f>
        <v>1760219923</v>
      </c>
      <c r="D3571">
        <v>5159.91</v>
      </c>
    </row>
    <row r="3572" spans="1:4" x14ac:dyDescent="0.25">
      <c r="A3572" t="s">
        <v>470</v>
      </c>
      <c r="B3572" t="s">
        <v>43</v>
      </c>
      <c r="C3572" s="2">
        <f>HYPERLINK("https://svao.dolgi.msk.ru/account/1760219958/", 1760219958)</f>
        <v>1760219958</v>
      </c>
      <c r="D3572">
        <v>15642.72</v>
      </c>
    </row>
    <row r="3573" spans="1:4" x14ac:dyDescent="0.25">
      <c r="A3573" t="s">
        <v>470</v>
      </c>
      <c r="B3573" t="s">
        <v>43</v>
      </c>
      <c r="C3573" s="2">
        <f>HYPERLINK("https://svao.dolgi.msk.ru/account/1760220406/", 1760220406)</f>
        <v>1760220406</v>
      </c>
      <c r="D3573">
        <v>6705.25</v>
      </c>
    </row>
    <row r="3574" spans="1:4" x14ac:dyDescent="0.25">
      <c r="A3574" t="s">
        <v>470</v>
      </c>
      <c r="B3574" t="s">
        <v>142</v>
      </c>
      <c r="C3574" s="2">
        <f>HYPERLINK("https://svao.dolgi.msk.ru/account/1760219982/", 1760219982)</f>
        <v>1760219982</v>
      </c>
      <c r="D3574">
        <v>36940.78</v>
      </c>
    </row>
    <row r="3575" spans="1:4" x14ac:dyDescent="0.25">
      <c r="A3575" t="s">
        <v>470</v>
      </c>
      <c r="B3575" t="s">
        <v>143</v>
      </c>
      <c r="C3575" s="2">
        <f>HYPERLINK("https://svao.dolgi.msk.ru/account/1760220035/", 1760220035)</f>
        <v>1760220035</v>
      </c>
      <c r="D3575">
        <v>14143.22</v>
      </c>
    </row>
    <row r="3576" spans="1:4" x14ac:dyDescent="0.25">
      <c r="A3576" t="s">
        <v>470</v>
      </c>
      <c r="B3576" t="s">
        <v>47</v>
      </c>
      <c r="C3576" s="2">
        <f>HYPERLINK("https://svao.dolgi.msk.ru/account/1760220158/", 1760220158)</f>
        <v>1760220158</v>
      </c>
      <c r="D3576">
        <v>3935.36</v>
      </c>
    </row>
    <row r="3577" spans="1:4" x14ac:dyDescent="0.25">
      <c r="A3577" t="s">
        <v>470</v>
      </c>
      <c r="B3577" t="s">
        <v>294</v>
      </c>
      <c r="C3577" s="2">
        <f>HYPERLINK("https://svao.dolgi.msk.ru/account/1760220203/", 1760220203)</f>
        <v>1760220203</v>
      </c>
      <c r="D3577">
        <v>5602.23</v>
      </c>
    </row>
    <row r="3578" spans="1:4" x14ac:dyDescent="0.25">
      <c r="A3578" t="s">
        <v>470</v>
      </c>
      <c r="B3578" t="s">
        <v>251</v>
      </c>
      <c r="C3578" s="2">
        <f>HYPERLINK("https://svao.dolgi.msk.ru/account/1760220246/", 1760220246)</f>
        <v>1760220246</v>
      </c>
      <c r="D3578">
        <v>97353.59</v>
      </c>
    </row>
    <row r="3579" spans="1:4" x14ac:dyDescent="0.25">
      <c r="A3579" t="s">
        <v>470</v>
      </c>
      <c r="B3579" t="s">
        <v>334</v>
      </c>
      <c r="C3579" s="2">
        <f>HYPERLINK("https://svao.dolgi.msk.ru/account/1760220318/", 1760220318)</f>
        <v>1760220318</v>
      </c>
      <c r="D3579">
        <v>6172.03</v>
      </c>
    </row>
    <row r="3580" spans="1:4" x14ac:dyDescent="0.25">
      <c r="A3580" t="s">
        <v>470</v>
      </c>
      <c r="B3580" t="s">
        <v>316</v>
      </c>
      <c r="C3580" s="2">
        <f>HYPERLINK("https://svao.dolgi.msk.ru/account/1760220342/", 1760220342)</f>
        <v>1760220342</v>
      </c>
      <c r="D3580">
        <v>6635.62</v>
      </c>
    </row>
    <row r="3581" spans="1:4" x14ac:dyDescent="0.25">
      <c r="A3581" t="s">
        <v>471</v>
      </c>
      <c r="B3581" t="s">
        <v>141</v>
      </c>
      <c r="C3581" s="2">
        <f>HYPERLINK("https://svao.dolgi.msk.ru/account/1760030653/", 1760030653)</f>
        <v>1760030653</v>
      </c>
      <c r="D3581">
        <v>122399.01</v>
      </c>
    </row>
    <row r="3582" spans="1:4" x14ac:dyDescent="0.25">
      <c r="A3582" t="s">
        <v>471</v>
      </c>
      <c r="B3582" t="s">
        <v>102</v>
      </c>
      <c r="C3582" s="2">
        <f>HYPERLINK("https://svao.dolgi.msk.ru/account/1760030661/", 1760030661)</f>
        <v>1760030661</v>
      </c>
      <c r="D3582">
        <v>691.18</v>
      </c>
    </row>
    <row r="3583" spans="1:4" x14ac:dyDescent="0.25">
      <c r="A3583" t="s">
        <v>471</v>
      </c>
      <c r="B3583" t="s">
        <v>103</v>
      </c>
      <c r="C3583" s="2">
        <f>HYPERLINK("https://svao.dolgi.msk.ru/account/1760030688/", 1760030688)</f>
        <v>1760030688</v>
      </c>
      <c r="D3583">
        <v>2651.31</v>
      </c>
    </row>
    <row r="3584" spans="1:4" x14ac:dyDescent="0.25">
      <c r="A3584" t="s">
        <v>471</v>
      </c>
      <c r="B3584" t="s">
        <v>74</v>
      </c>
      <c r="C3584" s="2">
        <f>HYPERLINK("https://svao.dolgi.msk.ru/account/1760030725/", 1760030725)</f>
        <v>1760030725</v>
      </c>
      <c r="D3584">
        <v>842.33</v>
      </c>
    </row>
    <row r="3585" spans="1:4" x14ac:dyDescent="0.25">
      <c r="A3585" t="s">
        <v>471</v>
      </c>
      <c r="B3585" t="s">
        <v>12</v>
      </c>
      <c r="C3585" s="2">
        <f>HYPERLINK("https://svao.dolgi.msk.ru/account/1760030813/", 1760030813)</f>
        <v>1760030813</v>
      </c>
      <c r="D3585">
        <v>633</v>
      </c>
    </row>
    <row r="3586" spans="1:4" x14ac:dyDescent="0.25">
      <c r="A3586" t="s">
        <v>471</v>
      </c>
      <c r="B3586" t="s">
        <v>13</v>
      </c>
      <c r="C3586" s="2">
        <f>HYPERLINK("https://svao.dolgi.msk.ru/account/1760030821/", 1760030821)</f>
        <v>1760030821</v>
      </c>
      <c r="D3586">
        <v>9901.0300000000007</v>
      </c>
    </row>
    <row r="3587" spans="1:4" x14ac:dyDescent="0.25">
      <c r="A3587" t="s">
        <v>471</v>
      </c>
      <c r="B3587" t="s">
        <v>14</v>
      </c>
      <c r="C3587" s="2">
        <f>HYPERLINK("https://svao.dolgi.msk.ru/account/1760030848/", 1760030848)</f>
        <v>1760030848</v>
      </c>
      <c r="D3587">
        <v>1572.03</v>
      </c>
    </row>
    <row r="3588" spans="1:4" x14ac:dyDescent="0.25">
      <c r="A3588" t="s">
        <v>471</v>
      </c>
      <c r="B3588" t="s">
        <v>106</v>
      </c>
      <c r="C3588" s="2">
        <f>HYPERLINK("https://svao.dolgi.msk.ru/account/1760030856/", 1760030856)</f>
        <v>1760030856</v>
      </c>
      <c r="D3588">
        <v>814.5</v>
      </c>
    </row>
    <row r="3589" spans="1:4" x14ac:dyDescent="0.25">
      <c r="A3589" t="s">
        <v>471</v>
      </c>
      <c r="B3589" t="s">
        <v>16</v>
      </c>
      <c r="C3589" s="2">
        <f>HYPERLINK("https://svao.dolgi.msk.ru/account/1760030901/", 1760030901)</f>
        <v>1760030901</v>
      </c>
      <c r="D3589">
        <v>5079.6899999999996</v>
      </c>
    </row>
    <row r="3590" spans="1:4" x14ac:dyDescent="0.25">
      <c r="A3590" t="s">
        <v>471</v>
      </c>
      <c r="B3590" t="s">
        <v>109</v>
      </c>
      <c r="C3590" s="2">
        <f>HYPERLINK("https://svao.dolgi.msk.ru/account/1760030952/", 1760030952)</f>
        <v>1760030952</v>
      </c>
      <c r="D3590">
        <v>4289.8</v>
      </c>
    </row>
    <row r="3591" spans="1:4" x14ac:dyDescent="0.25">
      <c r="A3591" t="s">
        <v>471</v>
      </c>
      <c r="B3591" t="s">
        <v>76</v>
      </c>
      <c r="C3591" s="2">
        <f>HYPERLINK("https://svao.dolgi.msk.ru/account/1760030995/", 1760030995)</f>
        <v>1760030995</v>
      </c>
      <c r="D3591">
        <v>5020.5600000000004</v>
      </c>
    </row>
    <row r="3592" spans="1:4" x14ac:dyDescent="0.25">
      <c r="A3592" t="s">
        <v>471</v>
      </c>
      <c r="B3592" t="s">
        <v>92</v>
      </c>
      <c r="C3592" s="2">
        <f>HYPERLINK("https://svao.dolgi.msk.ru/account/1760031007/", 1760031007)</f>
        <v>1760031007</v>
      </c>
      <c r="D3592">
        <v>5147.8900000000003</v>
      </c>
    </row>
    <row r="3593" spans="1:4" x14ac:dyDescent="0.25">
      <c r="A3593" t="s">
        <v>471</v>
      </c>
      <c r="B3593" t="s">
        <v>93</v>
      </c>
      <c r="C3593" s="2">
        <f>HYPERLINK("https://svao.dolgi.msk.ru/account/1760031015/", 1760031015)</f>
        <v>1760031015</v>
      </c>
      <c r="D3593">
        <v>5718.21</v>
      </c>
    </row>
    <row r="3594" spans="1:4" x14ac:dyDescent="0.25">
      <c r="A3594" t="s">
        <v>471</v>
      </c>
      <c r="B3594" t="s">
        <v>111</v>
      </c>
      <c r="C3594" s="2">
        <f>HYPERLINK("https://svao.dolgi.msk.ru/account/1760031023/", 1760031023)</f>
        <v>1760031023</v>
      </c>
      <c r="D3594">
        <v>556.77</v>
      </c>
    </row>
    <row r="3595" spans="1:4" x14ac:dyDescent="0.25">
      <c r="A3595" t="s">
        <v>471</v>
      </c>
      <c r="B3595" t="s">
        <v>94</v>
      </c>
      <c r="C3595" s="2">
        <f>HYPERLINK("https://svao.dolgi.msk.ru/account/1760031031/", 1760031031)</f>
        <v>1760031031</v>
      </c>
      <c r="D3595">
        <v>6022.85</v>
      </c>
    </row>
    <row r="3596" spans="1:4" x14ac:dyDescent="0.25">
      <c r="A3596" t="s">
        <v>471</v>
      </c>
      <c r="B3596" t="s">
        <v>112</v>
      </c>
      <c r="C3596" s="2">
        <f>HYPERLINK("https://svao.dolgi.msk.ru/account/1760031058/", 1760031058)</f>
        <v>1760031058</v>
      </c>
      <c r="D3596">
        <v>2813.47</v>
      </c>
    </row>
    <row r="3597" spans="1:4" x14ac:dyDescent="0.25">
      <c r="A3597" t="s">
        <v>471</v>
      </c>
      <c r="B3597" t="s">
        <v>112</v>
      </c>
      <c r="C3597" s="2">
        <f>HYPERLINK("https://svao.dolgi.msk.ru/account/1760270999/", 1760270999)</f>
        <v>1760270999</v>
      </c>
      <c r="D3597">
        <v>391.59</v>
      </c>
    </row>
    <row r="3598" spans="1:4" x14ac:dyDescent="0.25">
      <c r="A3598" t="s">
        <v>471</v>
      </c>
      <c r="B3598" t="s">
        <v>77</v>
      </c>
      <c r="C3598" s="2">
        <f>HYPERLINK("https://svao.dolgi.msk.ru/account/1760031082/", 1760031082)</f>
        <v>1760031082</v>
      </c>
      <c r="D3598">
        <v>5665.41</v>
      </c>
    </row>
    <row r="3599" spans="1:4" x14ac:dyDescent="0.25">
      <c r="A3599" t="s">
        <v>471</v>
      </c>
      <c r="B3599" t="s">
        <v>114</v>
      </c>
      <c r="C3599" s="2">
        <f>HYPERLINK("https://svao.dolgi.msk.ru/account/1760031103/", 1760031103)</f>
        <v>1760031103</v>
      </c>
      <c r="D3599">
        <v>2482.9499999999998</v>
      </c>
    </row>
    <row r="3600" spans="1:4" x14ac:dyDescent="0.25">
      <c r="A3600" t="s">
        <v>471</v>
      </c>
      <c r="B3600" t="s">
        <v>124</v>
      </c>
      <c r="C3600" s="2">
        <f>HYPERLINK("https://svao.dolgi.msk.ru/account/1760031162/", 1760031162)</f>
        <v>1760031162</v>
      </c>
      <c r="D3600">
        <v>8597.59</v>
      </c>
    </row>
    <row r="3601" spans="1:4" x14ac:dyDescent="0.25">
      <c r="A3601" t="s">
        <v>471</v>
      </c>
      <c r="B3601" t="s">
        <v>117</v>
      </c>
      <c r="C3601" s="2">
        <f>HYPERLINK("https://svao.dolgi.msk.ru/account/1760031189/", 1760031189)</f>
        <v>1760031189</v>
      </c>
      <c r="D3601">
        <v>9442.5499999999993</v>
      </c>
    </row>
    <row r="3602" spans="1:4" x14ac:dyDescent="0.25">
      <c r="A3602" t="s">
        <v>471</v>
      </c>
      <c r="B3602" t="s">
        <v>320</v>
      </c>
      <c r="C3602" s="2">
        <f>HYPERLINK("https://svao.dolgi.msk.ru/account/1760031218/", 1760031218)</f>
        <v>1760031218</v>
      </c>
      <c r="D3602">
        <v>3735</v>
      </c>
    </row>
    <row r="3603" spans="1:4" x14ac:dyDescent="0.25">
      <c r="A3603" t="s">
        <v>471</v>
      </c>
      <c r="B3603" t="s">
        <v>24</v>
      </c>
      <c r="C3603" s="2">
        <f>HYPERLINK("https://svao.dolgi.msk.ru/account/1760031226/", 1760031226)</f>
        <v>1760031226</v>
      </c>
      <c r="D3603">
        <v>5407.72</v>
      </c>
    </row>
    <row r="3604" spans="1:4" x14ac:dyDescent="0.25">
      <c r="A3604" t="s">
        <v>471</v>
      </c>
      <c r="B3604" t="s">
        <v>314</v>
      </c>
      <c r="C3604" s="2">
        <f>HYPERLINK("https://svao.dolgi.msk.ru/account/1760031234/", 1760031234)</f>
        <v>1760031234</v>
      </c>
      <c r="D3604">
        <v>3987.98</v>
      </c>
    </row>
    <row r="3605" spans="1:4" x14ac:dyDescent="0.25">
      <c r="A3605" t="s">
        <v>471</v>
      </c>
      <c r="B3605" t="s">
        <v>131</v>
      </c>
      <c r="C3605" s="2">
        <f>HYPERLINK("https://svao.dolgi.msk.ru/account/1760031277/", 1760031277)</f>
        <v>1760031277</v>
      </c>
      <c r="D3605">
        <v>2202.13</v>
      </c>
    </row>
    <row r="3606" spans="1:4" x14ac:dyDescent="0.25">
      <c r="A3606" t="s">
        <v>471</v>
      </c>
      <c r="B3606" t="s">
        <v>80</v>
      </c>
      <c r="C3606" s="2">
        <f>HYPERLINK("https://svao.dolgi.msk.ru/account/1760031306/", 1760031306)</f>
        <v>1760031306</v>
      </c>
      <c r="D3606">
        <v>36015.17</v>
      </c>
    </row>
    <row r="3607" spans="1:4" x14ac:dyDescent="0.25">
      <c r="A3607" t="s">
        <v>471</v>
      </c>
      <c r="B3607" t="s">
        <v>118</v>
      </c>
      <c r="C3607" s="2">
        <f>HYPERLINK("https://svao.dolgi.msk.ru/account/1760031314/", 1760031314)</f>
        <v>1760031314</v>
      </c>
      <c r="D3607">
        <v>34473.97</v>
      </c>
    </row>
    <row r="3608" spans="1:4" x14ac:dyDescent="0.25">
      <c r="A3608" t="s">
        <v>471</v>
      </c>
      <c r="B3608" t="s">
        <v>118</v>
      </c>
      <c r="C3608" s="2">
        <f>HYPERLINK("https://svao.dolgi.msk.ru/account/1761812382/", 1761812382)</f>
        <v>1761812382</v>
      </c>
      <c r="D3608">
        <v>4476.0600000000004</v>
      </c>
    </row>
    <row r="3609" spans="1:4" x14ac:dyDescent="0.25">
      <c r="A3609" t="s">
        <v>472</v>
      </c>
      <c r="B3609" t="s">
        <v>6</v>
      </c>
      <c r="C3609" s="2">
        <f>HYPERLINK("https://svao.dolgi.msk.ru/account/1760029708/", 1760029708)</f>
        <v>1760029708</v>
      </c>
      <c r="D3609">
        <v>169621.26</v>
      </c>
    </row>
    <row r="3610" spans="1:4" x14ac:dyDescent="0.25">
      <c r="A3610" t="s">
        <v>472</v>
      </c>
      <c r="B3610" t="s">
        <v>6</v>
      </c>
      <c r="C3610" s="2">
        <f>HYPERLINK("https://svao.dolgi.msk.ru/account/1760272396/", 1760272396)</f>
        <v>1760272396</v>
      </c>
      <c r="D3610">
        <v>4490.1899999999996</v>
      </c>
    </row>
    <row r="3611" spans="1:4" x14ac:dyDescent="0.25">
      <c r="A3611" t="s">
        <v>472</v>
      </c>
      <c r="B3611" t="s">
        <v>5</v>
      </c>
      <c r="C3611" s="2">
        <f>HYPERLINK("https://svao.dolgi.msk.ru/account/1760029724/", 1760029724)</f>
        <v>1760029724</v>
      </c>
      <c r="D3611">
        <v>3548.82</v>
      </c>
    </row>
    <row r="3612" spans="1:4" x14ac:dyDescent="0.25">
      <c r="A3612" t="s">
        <v>472</v>
      </c>
      <c r="B3612" t="s">
        <v>101</v>
      </c>
      <c r="C3612" s="2">
        <f>HYPERLINK("https://svao.dolgi.msk.ru/account/1760029767/", 1760029767)</f>
        <v>1760029767</v>
      </c>
      <c r="D3612">
        <v>15068.97</v>
      </c>
    </row>
    <row r="3613" spans="1:4" x14ac:dyDescent="0.25">
      <c r="A3613" t="s">
        <v>472</v>
      </c>
      <c r="B3613" t="s">
        <v>141</v>
      </c>
      <c r="C3613" s="2">
        <f>HYPERLINK("https://svao.dolgi.msk.ru/account/1760029783/", 1760029783)</f>
        <v>1760029783</v>
      </c>
      <c r="D3613">
        <v>26444.48</v>
      </c>
    </row>
    <row r="3614" spans="1:4" x14ac:dyDescent="0.25">
      <c r="A3614" t="s">
        <v>472</v>
      </c>
      <c r="B3614" t="s">
        <v>141</v>
      </c>
      <c r="C3614" s="2">
        <f>HYPERLINK("https://svao.dolgi.msk.ru/account/1761811072/", 1761811072)</f>
        <v>1761811072</v>
      </c>
      <c r="D3614">
        <v>132623.10999999999</v>
      </c>
    </row>
    <row r="3615" spans="1:4" x14ac:dyDescent="0.25">
      <c r="A3615" t="s">
        <v>472</v>
      </c>
      <c r="B3615" t="s">
        <v>103</v>
      </c>
      <c r="C3615" s="2">
        <f>HYPERLINK("https://svao.dolgi.msk.ru/account/1760029812/", 1760029812)</f>
        <v>1760029812</v>
      </c>
      <c r="D3615">
        <v>10614.55</v>
      </c>
    </row>
    <row r="3616" spans="1:4" x14ac:dyDescent="0.25">
      <c r="A3616" t="s">
        <v>472</v>
      </c>
      <c r="B3616" t="s">
        <v>137</v>
      </c>
      <c r="C3616" s="2">
        <f>HYPERLINK("https://svao.dolgi.msk.ru/account/1760029919/", 1760029919)</f>
        <v>1760029919</v>
      </c>
      <c r="D3616">
        <v>5343.48</v>
      </c>
    </row>
    <row r="3617" spans="1:4" x14ac:dyDescent="0.25">
      <c r="A3617" t="s">
        <v>472</v>
      </c>
      <c r="B3617" t="s">
        <v>10</v>
      </c>
      <c r="C3617" s="2">
        <f>HYPERLINK("https://svao.dolgi.msk.ru/account/1760029951/", 1760029951)</f>
        <v>1760029951</v>
      </c>
      <c r="D3617">
        <v>3971.85</v>
      </c>
    </row>
    <row r="3618" spans="1:4" x14ac:dyDescent="0.25">
      <c r="A3618" t="s">
        <v>472</v>
      </c>
      <c r="B3618" t="s">
        <v>10</v>
      </c>
      <c r="C3618" s="2">
        <f>HYPERLINK("https://svao.dolgi.msk.ru/account/1760029978/", 1760029978)</f>
        <v>1760029978</v>
      </c>
      <c r="D3618">
        <v>2609.8000000000002</v>
      </c>
    </row>
    <row r="3619" spans="1:4" x14ac:dyDescent="0.25">
      <c r="A3619" t="s">
        <v>472</v>
      </c>
      <c r="B3619" t="s">
        <v>11</v>
      </c>
      <c r="C3619" s="2">
        <f>HYPERLINK("https://svao.dolgi.msk.ru/account/1760029994/", 1760029994)</f>
        <v>1760029994</v>
      </c>
      <c r="D3619">
        <v>52108.2</v>
      </c>
    </row>
    <row r="3620" spans="1:4" x14ac:dyDescent="0.25">
      <c r="A3620" t="s">
        <v>472</v>
      </c>
      <c r="B3620" t="s">
        <v>15</v>
      </c>
      <c r="C3620" s="2">
        <f>HYPERLINK("https://svao.dolgi.msk.ru/account/1760030119/", 1760030119)</f>
        <v>1760030119</v>
      </c>
      <c r="D3620">
        <v>108064.39</v>
      </c>
    </row>
    <row r="3621" spans="1:4" x14ac:dyDescent="0.25">
      <c r="A3621" t="s">
        <v>472</v>
      </c>
      <c r="B3621" t="s">
        <v>15</v>
      </c>
      <c r="C3621" s="2">
        <f>HYPERLINK("https://svao.dolgi.msk.ru/account/1760030127/", 1760030127)</f>
        <v>1760030127</v>
      </c>
      <c r="D3621">
        <v>47826.92</v>
      </c>
    </row>
    <row r="3622" spans="1:4" x14ac:dyDescent="0.25">
      <c r="A3622" t="s">
        <v>472</v>
      </c>
      <c r="B3622" t="s">
        <v>19</v>
      </c>
      <c r="C3622" s="2">
        <f>HYPERLINK("https://svao.dolgi.msk.ru/account/1760030231/", 1760030231)</f>
        <v>1760030231</v>
      </c>
      <c r="D3622">
        <v>2452.66</v>
      </c>
    </row>
    <row r="3623" spans="1:4" x14ac:dyDescent="0.25">
      <c r="A3623" t="s">
        <v>472</v>
      </c>
      <c r="B3623" t="s">
        <v>19</v>
      </c>
      <c r="C3623" s="2">
        <f>HYPERLINK("https://svao.dolgi.msk.ru/account/1760030258/", 1760030258)</f>
        <v>1760030258</v>
      </c>
      <c r="D3623">
        <v>5310.63</v>
      </c>
    </row>
    <row r="3624" spans="1:4" x14ac:dyDescent="0.25">
      <c r="A3624" t="s">
        <v>472</v>
      </c>
      <c r="B3624" t="s">
        <v>19</v>
      </c>
      <c r="C3624" s="2">
        <f>HYPERLINK("https://svao.dolgi.msk.ru/account/1760030266/", 1760030266)</f>
        <v>1760030266</v>
      </c>
      <c r="D3624">
        <v>2491.29</v>
      </c>
    </row>
    <row r="3625" spans="1:4" x14ac:dyDescent="0.25">
      <c r="A3625" t="s">
        <v>472</v>
      </c>
      <c r="B3625" t="s">
        <v>109</v>
      </c>
      <c r="C3625" s="2">
        <f>HYPERLINK("https://svao.dolgi.msk.ru/account/1760030274/", 1760030274)</f>
        <v>1760030274</v>
      </c>
      <c r="D3625">
        <v>186506.73</v>
      </c>
    </row>
    <row r="3626" spans="1:4" x14ac:dyDescent="0.25">
      <c r="A3626" t="s">
        <v>472</v>
      </c>
      <c r="B3626" t="s">
        <v>20</v>
      </c>
      <c r="C3626" s="2">
        <f>HYPERLINK("https://svao.dolgi.msk.ru/account/1760030303/", 1760030303)</f>
        <v>1760030303</v>
      </c>
      <c r="D3626">
        <v>3073.15</v>
      </c>
    </row>
    <row r="3627" spans="1:4" x14ac:dyDescent="0.25">
      <c r="A3627" t="s">
        <v>472</v>
      </c>
      <c r="B3627" t="s">
        <v>92</v>
      </c>
      <c r="C3627" s="2">
        <f>HYPERLINK("https://svao.dolgi.msk.ru/account/1760030338/", 1760030338)</f>
        <v>1760030338</v>
      </c>
      <c r="D3627">
        <v>6016.67</v>
      </c>
    </row>
    <row r="3628" spans="1:4" x14ac:dyDescent="0.25">
      <c r="A3628" t="s">
        <v>472</v>
      </c>
      <c r="B3628" t="s">
        <v>93</v>
      </c>
      <c r="C3628" s="2">
        <f>HYPERLINK("https://svao.dolgi.msk.ru/account/1760030346/", 1760030346)</f>
        <v>1760030346</v>
      </c>
      <c r="D3628">
        <v>10458.08</v>
      </c>
    </row>
    <row r="3629" spans="1:4" x14ac:dyDescent="0.25">
      <c r="A3629" t="s">
        <v>472</v>
      </c>
      <c r="B3629" t="s">
        <v>111</v>
      </c>
      <c r="C3629" s="2">
        <f>HYPERLINK("https://svao.dolgi.msk.ru/account/1760030354/", 1760030354)</f>
        <v>1760030354</v>
      </c>
      <c r="D3629">
        <v>8423.4699999999993</v>
      </c>
    </row>
    <row r="3630" spans="1:4" x14ac:dyDescent="0.25">
      <c r="A3630" t="s">
        <v>472</v>
      </c>
      <c r="B3630" t="s">
        <v>113</v>
      </c>
      <c r="C3630" s="2">
        <f>HYPERLINK("https://svao.dolgi.msk.ru/account/1760030426/", 1760030426)</f>
        <v>1760030426</v>
      </c>
      <c r="D3630">
        <v>5448.63</v>
      </c>
    </row>
    <row r="3631" spans="1:4" x14ac:dyDescent="0.25">
      <c r="A3631" t="s">
        <v>472</v>
      </c>
      <c r="B3631" t="s">
        <v>114</v>
      </c>
      <c r="C3631" s="2">
        <f>HYPERLINK("https://svao.dolgi.msk.ru/account/1760030477/", 1760030477)</f>
        <v>1760030477</v>
      </c>
      <c r="D3631">
        <v>7141.43</v>
      </c>
    </row>
    <row r="3632" spans="1:4" x14ac:dyDescent="0.25">
      <c r="A3632" t="s">
        <v>472</v>
      </c>
      <c r="B3632" t="s">
        <v>79</v>
      </c>
      <c r="C3632" s="2">
        <f>HYPERLINK("https://svao.dolgi.msk.ru/account/1760030522/", 1760030522)</f>
        <v>1760030522</v>
      </c>
      <c r="D3632">
        <v>5658.72</v>
      </c>
    </row>
    <row r="3633" spans="1:4" x14ac:dyDescent="0.25">
      <c r="A3633" t="s">
        <v>472</v>
      </c>
      <c r="B3633" t="s">
        <v>23</v>
      </c>
      <c r="C3633" s="2">
        <f>HYPERLINK("https://svao.dolgi.msk.ru/account/1760030549/", 1760030549)</f>
        <v>1760030549</v>
      </c>
      <c r="D3633">
        <v>5655.26</v>
      </c>
    </row>
    <row r="3634" spans="1:4" x14ac:dyDescent="0.25">
      <c r="A3634" t="s">
        <v>472</v>
      </c>
      <c r="B3634" t="s">
        <v>124</v>
      </c>
      <c r="C3634" s="2">
        <f>HYPERLINK("https://svao.dolgi.msk.ru/account/1760030557/", 1760030557)</f>
        <v>1760030557</v>
      </c>
      <c r="D3634">
        <v>8145.32</v>
      </c>
    </row>
    <row r="3635" spans="1:4" x14ac:dyDescent="0.25">
      <c r="A3635" t="s">
        <v>473</v>
      </c>
      <c r="B3635" t="s">
        <v>5</v>
      </c>
      <c r="C3635" s="2">
        <f>HYPERLINK("https://svao.dolgi.msk.ru/account/1761768545/", 1761768545)</f>
        <v>1761768545</v>
      </c>
      <c r="D3635">
        <v>7640.04</v>
      </c>
    </row>
    <row r="3636" spans="1:4" x14ac:dyDescent="0.25">
      <c r="A3636" t="s">
        <v>473</v>
      </c>
      <c r="B3636" t="s">
        <v>141</v>
      </c>
      <c r="C3636" s="2">
        <f>HYPERLINK("https://svao.dolgi.msk.ru/account/1761768588/", 1761768588)</f>
        <v>1761768588</v>
      </c>
      <c r="D3636">
        <v>4818.53</v>
      </c>
    </row>
    <row r="3637" spans="1:4" x14ac:dyDescent="0.25">
      <c r="A3637" t="s">
        <v>473</v>
      </c>
      <c r="B3637" t="s">
        <v>8</v>
      </c>
      <c r="C3637" s="2">
        <f>HYPERLINK("https://svao.dolgi.msk.ru/account/1761768633/", 1761768633)</f>
        <v>1761768633</v>
      </c>
      <c r="D3637">
        <v>5479.78</v>
      </c>
    </row>
    <row r="3638" spans="1:4" x14ac:dyDescent="0.25">
      <c r="A3638" t="s">
        <v>473</v>
      </c>
      <c r="B3638" t="s">
        <v>137</v>
      </c>
      <c r="C3638" s="2">
        <f>HYPERLINK("https://svao.dolgi.msk.ru/account/1761768668/", 1761768668)</f>
        <v>1761768668</v>
      </c>
      <c r="D3638">
        <v>11600.37</v>
      </c>
    </row>
    <row r="3639" spans="1:4" x14ac:dyDescent="0.25">
      <c r="A3639" t="s">
        <v>473</v>
      </c>
      <c r="B3639" t="s">
        <v>91</v>
      </c>
      <c r="C3639" s="2">
        <f>HYPERLINK("https://svao.dolgi.msk.ru/account/1761768692/", 1761768692)</f>
        <v>1761768692</v>
      </c>
      <c r="D3639">
        <v>9242.02</v>
      </c>
    </row>
    <row r="3640" spans="1:4" x14ac:dyDescent="0.25">
      <c r="A3640" t="s">
        <v>473</v>
      </c>
      <c r="B3640" t="s">
        <v>10</v>
      </c>
      <c r="C3640" s="2">
        <f>HYPERLINK("https://svao.dolgi.msk.ru/account/1761768705/", 1761768705)</f>
        <v>1761768705</v>
      </c>
      <c r="D3640">
        <v>9837.82</v>
      </c>
    </row>
    <row r="3641" spans="1:4" x14ac:dyDescent="0.25">
      <c r="A3641" t="s">
        <v>473</v>
      </c>
      <c r="B3641" t="s">
        <v>11</v>
      </c>
      <c r="C3641" s="2">
        <f>HYPERLINK("https://svao.dolgi.msk.ru/account/1761768721/", 1761768721)</f>
        <v>1761768721</v>
      </c>
      <c r="D3641">
        <v>6716.2</v>
      </c>
    </row>
    <row r="3642" spans="1:4" x14ac:dyDescent="0.25">
      <c r="A3642" t="s">
        <v>473</v>
      </c>
      <c r="B3642" t="s">
        <v>12</v>
      </c>
      <c r="C3642" s="2">
        <f>HYPERLINK("https://svao.dolgi.msk.ru/account/1761768748/", 1761768748)</f>
        <v>1761768748</v>
      </c>
      <c r="D3642">
        <v>9620.19</v>
      </c>
    </row>
    <row r="3643" spans="1:4" x14ac:dyDescent="0.25">
      <c r="A3643" t="s">
        <v>473</v>
      </c>
      <c r="B3643" t="s">
        <v>13</v>
      </c>
      <c r="C3643" s="2">
        <f>HYPERLINK("https://svao.dolgi.msk.ru/account/1761768756/", 1761768756)</f>
        <v>1761768756</v>
      </c>
      <c r="D3643">
        <v>37699.32</v>
      </c>
    </row>
    <row r="3644" spans="1:4" x14ac:dyDescent="0.25">
      <c r="A3644" t="s">
        <v>473</v>
      </c>
      <c r="B3644" t="s">
        <v>106</v>
      </c>
      <c r="C3644" s="2">
        <f>HYPERLINK("https://svao.dolgi.msk.ru/account/1761768772/", 1761768772)</f>
        <v>1761768772</v>
      </c>
      <c r="D3644">
        <v>7791.43</v>
      </c>
    </row>
    <row r="3645" spans="1:4" x14ac:dyDescent="0.25">
      <c r="A3645" t="s">
        <v>473</v>
      </c>
      <c r="B3645" t="s">
        <v>108</v>
      </c>
      <c r="C3645" s="2">
        <f>HYPERLINK("https://svao.dolgi.msk.ru/account/1761768828/", 1761768828)</f>
        <v>1761768828</v>
      </c>
      <c r="D3645">
        <v>6232.98</v>
      </c>
    </row>
    <row r="3646" spans="1:4" x14ac:dyDescent="0.25">
      <c r="A3646" t="s">
        <v>473</v>
      </c>
      <c r="B3646" t="s">
        <v>109</v>
      </c>
      <c r="C3646" s="2">
        <f>HYPERLINK("https://svao.dolgi.msk.ru/account/1761768887/", 1761768887)</f>
        <v>1761768887</v>
      </c>
      <c r="D3646">
        <v>12264.29</v>
      </c>
    </row>
    <row r="3647" spans="1:4" x14ac:dyDescent="0.25">
      <c r="A3647" t="s">
        <v>473</v>
      </c>
      <c r="B3647" t="s">
        <v>111</v>
      </c>
      <c r="C3647" s="2">
        <f>HYPERLINK("https://svao.dolgi.msk.ru/account/1761768959/", 1761768959)</f>
        <v>1761768959</v>
      </c>
      <c r="D3647">
        <v>4397.4799999999996</v>
      </c>
    </row>
    <row r="3648" spans="1:4" x14ac:dyDescent="0.25">
      <c r="A3648" t="s">
        <v>473</v>
      </c>
      <c r="B3648" t="s">
        <v>94</v>
      </c>
      <c r="C3648" s="2">
        <f>HYPERLINK("https://svao.dolgi.msk.ru/account/1761768967/", 1761768967)</f>
        <v>1761768967</v>
      </c>
      <c r="D3648">
        <v>3671.49</v>
      </c>
    </row>
    <row r="3649" spans="1:4" x14ac:dyDescent="0.25">
      <c r="A3649" t="s">
        <v>473</v>
      </c>
      <c r="B3649" t="s">
        <v>21</v>
      </c>
      <c r="C3649" s="2">
        <f>HYPERLINK("https://svao.dolgi.msk.ru/account/1761768991/", 1761768991)</f>
        <v>1761768991</v>
      </c>
      <c r="D3649">
        <v>6072.82</v>
      </c>
    </row>
    <row r="3650" spans="1:4" x14ac:dyDescent="0.25">
      <c r="A3650" t="s">
        <v>473</v>
      </c>
      <c r="B3650" t="s">
        <v>77</v>
      </c>
      <c r="C3650" s="2">
        <f>HYPERLINK("https://svao.dolgi.msk.ru/account/1761769003/", 1761769003)</f>
        <v>1761769003</v>
      </c>
      <c r="D3650">
        <v>3802</v>
      </c>
    </row>
    <row r="3651" spans="1:4" x14ac:dyDescent="0.25">
      <c r="A3651" t="s">
        <v>473</v>
      </c>
      <c r="B3651" t="s">
        <v>124</v>
      </c>
      <c r="C3651" s="2">
        <f>HYPERLINK("https://svao.dolgi.msk.ru/account/1761769089/", 1761769089)</f>
        <v>1761769089</v>
      </c>
      <c r="D3651">
        <v>6976.29</v>
      </c>
    </row>
    <row r="3652" spans="1:4" x14ac:dyDescent="0.25">
      <c r="A3652" t="s">
        <v>473</v>
      </c>
      <c r="B3652" t="s">
        <v>24</v>
      </c>
      <c r="C3652" s="2">
        <f>HYPERLINK("https://svao.dolgi.msk.ru/account/1761769134/", 1761769134)</f>
        <v>1761769134</v>
      </c>
      <c r="D3652">
        <v>10124.49</v>
      </c>
    </row>
    <row r="3653" spans="1:4" x14ac:dyDescent="0.25">
      <c r="A3653" t="s">
        <v>473</v>
      </c>
      <c r="B3653" t="s">
        <v>95</v>
      </c>
      <c r="C3653" s="2">
        <f>HYPERLINK("https://svao.dolgi.msk.ru/account/1761769177/", 1761769177)</f>
        <v>1761769177</v>
      </c>
      <c r="D3653">
        <v>7795.69</v>
      </c>
    </row>
    <row r="3654" spans="1:4" x14ac:dyDescent="0.25">
      <c r="A3654" t="s">
        <v>473</v>
      </c>
      <c r="B3654" t="s">
        <v>125</v>
      </c>
      <c r="C3654" s="2">
        <f>HYPERLINK("https://svao.dolgi.msk.ru/account/1761769193/", 1761769193)</f>
        <v>1761769193</v>
      </c>
      <c r="D3654">
        <v>365605.81</v>
      </c>
    </row>
    <row r="3655" spans="1:4" x14ac:dyDescent="0.25">
      <c r="A3655" t="s">
        <v>473</v>
      </c>
      <c r="B3655" t="s">
        <v>80</v>
      </c>
      <c r="C3655" s="2">
        <f>HYPERLINK("https://svao.dolgi.msk.ru/account/1761769214/", 1761769214)</f>
        <v>1761769214</v>
      </c>
      <c r="D3655">
        <v>4787.76</v>
      </c>
    </row>
    <row r="3656" spans="1:4" x14ac:dyDescent="0.25">
      <c r="A3656" t="s">
        <v>473</v>
      </c>
      <c r="B3656" t="s">
        <v>127</v>
      </c>
      <c r="C3656" s="2">
        <f>HYPERLINK("https://svao.dolgi.msk.ru/account/1761769249/", 1761769249)</f>
        <v>1761769249</v>
      </c>
      <c r="D3656">
        <v>789.56</v>
      </c>
    </row>
    <row r="3657" spans="1:4" x14ac:dyDescent="0.25">
      <c r="A3657" t="s">
        <v>473</v>
      </c>
      <c r="B3657" t="s">
        <v>81</v>
      </c>
      <c r="C3657" s="2">
        <f>HYPERLINK("https://svao.dolgi.msk.ru/account/1761769257/", 1761769257)</f>
        <v>1761769257</v>
      </c>
      <c r="D3657">
        <v>5193.84</v>
      </c>
    </row>
    <row r="3658" spans="1:4" x14ac:dyDescent="0.25">
      <c r="A3658" t="s">
        <v>473</v>
      </c>
      <c r="B3658" t="s">
        <v>96</v>
      </c>
      <c r="C3658" s="2">
        <f>HYPERLINK("https://svao.dolgi.msk.ru/account/1761769388/", 1761769388)</f>
        <v>1761769388</v>
      </c>
      <c r="D3658">
        <v>4250.95</v>
      </c>
    </row>
    <row r="3659" spans="1:4" x14ac:dyDescent="0.25">
      <c r="A3659" t="s">
        <v>473</v>
      </c>
      <c r="B3659" t="s">
        <v>121</v>
      </c>
      <c r="C3659" s="2">
        <f>HYPERLINK("https://svao.dolgi.msk.ru/account/1761769425/", 1761769425)</f>
        <v>1761769425</v>
      </c>
      <c r="D3659">
        <v>123999.77</v>
      </c>
    </row>
    <row r="3660" spans="1:4" x14ac:dyDescent="0.25">
      <c r="A3660" t="s">
        <v>473</v>
      </c>
      <c r="B3660" t="s">
        <v>30</v>
      </c>
      <c r="C3660" s="2">
        <f>HYPERLINK("https://svao.dolgi.msk.ru/account/1761769505/", 1761769505)</f>
        <v>1761769505</v>
      </c>
      <c r="D3660">
        <v>11292.93</v>
      </c>
    </row>
    <row r="3661" spans="1:4" x14ac:dyDescent="0.25">
      <c r="A3661" t="s">
        <v>473</v>
      </c>
      <c r="B3661" t="s">
        <v>84</v>
      </c>
      <c r="C3661" s="2">
        <f>HYPERLINK("https://svao.dolgi.msk.ru/account/1761769521/", 1761769521)</f>
        <v>1761769521</v>
      </c>
      <c r="D3661">
        <v>6250.43</v>
      </c>
    </row>
    <row r="3662" spans="1:4" x14ac:dyDescent="0.25">
      <c r="A3662" t="s">
        <v>473</v>
      </c>
      <c r="B3662" t="s">
        <v>31</v>
      </c>
      <c r="C3662" s="2">
        <f>HYPERLINK("https://svao.dolgi.msk.ru/account/1761769548/", 1761769548)</f>
        <v>1761769548</v>
      </c>
      <c r="D3662">
        <v>7736.99</v>
      </c>
    </row>
    <row r="3663" spans="1:4" x14ac:dyDescent="0.25">
      <c r="A3663" t="s">
        <v>473</v>
      </c>
      <c r="B3663" t="s">
        <v>291</v>
      </c>
      <c r="C3663" s="2">
        <f>HYPERLINK("https://svao.dolgi.msk.ru/account/1761769564/", 1761769564)</f>
        <v>1761769564</v>
      </c>
      <c r="D3663">
        <v>11599.97</v>
      </c>
    </row>
    <row r="3664" spans="1:4" x14ac:dyDescent="0.25">
      <c r="A3664" t="s">
        <v>473</v>
      </c>
      <c r="B3664" t="s">
        <v>245</v>
      </c>
      <c r="C3664" s="2">
        <f>HYPERLINK("https://svao.dolgi.msk.ru/account/1761769572/", 1761769572)</f>
        <v>1761769572</v>
      </c>
      <c r="D3664">
        <v>4328.79</v>
      </c>
    </row>
    <row r="3665" spans="1:4" x14ac:dyDescent="0.25">
      <c r="A3665" t="s">
        <v>473</v>
      </c>
      <c r="B3665" t="s">
        <v>34</v>
      </c>
      <c r="C3665" s="2">
        <f>HYPERLINK("https://svao.dolgi.msk.ru/account/1761769636/", 1761769636)</f>
        <v>1761769636</v>
      </c>
      <c r="D3665">
        <v>5377.37</v>
      </c>
    </row>
    <row r="3666" spans="1:4" x14ac:dyDescent="0.25">
      <c r="A3666" t="s">
        <v>473</v>
      </c>
      <c r="B3666" t="s">
        <v>99</v>
      </c>
      <c r="C3666" s="2">
        <f>HYPERLINK("https://svao.dolgi.msk.ru/account/1761769652/", 1761769652)</f>
        <v>1761769652</v>
      </c>
      <c r="D3666">
        <v>8402.2099999999991</v>
      </c>
    </row>
    <row r="3667" spans="1:4" x14ac:dyDescent="0.25">
      <c r="A3667" t="s">
        <v>473</v>
      </c>
      <c r="B3667" t="s">
        <v>86</v>
      </c>
      <c r="C3667" s="2">
        <f>HYPERLINK("https://svao.dolgi.msk.ru/account/1761769687/", 1761769687)</f>
        <v>1761769687</v>
      </c>
      <c r="D3667">
        <v>23909.74</v>
      </c>
    </row>
    <row r="3668" spans="1:4" x14ac:dyDescent="0.25">
      <c r="A3668" t="s">
        <v>473</v>
      </c>
      <c r="B3668" t="s">
        <v>87</v>
      </c>
      <c r="C3668" s="2">
        <f>HYPERLINK("https://svao.dolgi.msk.ru/account/1761769708/", 1761769708)</f>
        <v>1761769708</v>
      </c>
      <c r="D3668">
        <v>31125.63</v>
      </c>
    </row>
    <row r="3669" spans="1:4" x14ac:dyDescent="0.25">
      <c r="A3669" t="s">
        <v>473</v>
      </c>
      <c r="B3669" t="s">
        <v>88</v>
      </c>
      <c r="C3669" s="2">
        <f>HYPERLINK("https://svao.dolgi.msk.ru/account/1761769724/", 1761769724)</f>
        <v>1761769724</v>
      </c>
      <c r="D3669">
        <v>4109.3999999999996</v>
      </c>
    </row>
    <row r="3670" spans="1:4" x14ac:dyDescent="0.25">
      <c r="A3670" t="s">
        <v>473</v>
      </c>
      <c r="B3670" t="s">
        <v>40</v>
      </c>
      <c r="C3670" s="2">
        <f>HYPERLINK("https://svao.dolgi.msk.ru/account/1761769791/", 1761769791)</f>
        <v>1761769791</v>
      </c>
      <c r="D3670">
        <v>9599.39</v>
      </c>
    </row>
    <row r="3671" spans="1:4" x14ac:dyDescent="0.25">
      <c r="A3671" t="s">
        <v>473</v>
      </c>
      <c r="B3671" t="s">
        <v>89</v>
      </c>
      <c r="C3671" s="2">
        <f>HYPERLINK("https://svao.dolgi.msk.ru/account/1761769847/", 1761769847)</f>
        <v>1761769847</v>
      </c>
      <c r="D3671">
        <v>46831.31</v>
      </c>
    </row>
    <row r="3672" spans="1:4" x14ac:dyDescent="0.25">
      <c r="A3672" t="s">
        <v>473</v>
      </c>
      <c r="B3672" t="s">
        <v>247</v>
      </c>
      <c r="C3672" s="2">
        <f>HYPERLINK("https://svao.dolgi.msk.ru/account/1761769863/", 1761769863)</f>
        <v>1761769863</v>
      </c>
      <c r="D3672">
        <v>4048.05</v>
      </c>
    </row>
    <row r="3673" spans="1:4" x14ac:dyDescent="0.25">
      <c r="A3673" t="s">
        <v>473</v>
      </c>
      <c r="B3673" t="s">
        <v>143</v>
      </c>
      <c r="C3673" s="2">
        <f>HYPERLINK("https://svao.dolgi.msk.ru/account/1761769898/", 1761769898)</f>
        <v>1761769898</v>
      </c>
      <c r="D3673">
        <v>5821</v>
      </c>
    </row>
    <row r="3674" spans="1:4" x14ac:dyDescent="0.25">
      <c r="A3674" t="s">
        <v>473</v>
      </c>
      <c r="B3674" t="s">
        <v>144</v>
      </c>
      <c r="C3674" s="2">
        <f>HYPERLINK("https://svao.dolgi.msk.ru/account/1761769927/", 1761769927)</f>
        <v>1761769927</v>
      </c>
      <c r="D3674">
        <v>3721.45</v>
      </c>
    </row>
    <row r="3675" spans="1:4" x14ac:dyDescent="0.25">
      <c r="A3675" t="s">
        <v>473</v>
      </c>
      <c r="B3675" t="s">
        <v>248</v>
      </c>
      <c r="C3675" s="2">
        <f>HYPERLINK("https://svao.dolgi.msk.ru/account/1761769951/", 1761769951)</f>
        <v>1761769951</v>
      </c>
      <c r="D3675">
        <v>15178.44</v>
      </c>
    </row>
    <row r="3676" spans="1:4" x14ac:dyDescent="0.25">
      <c r="A3676" t="s">
        <v>473</v>
      </c>
      <c r="B3676" t="s">
        <v>46</v>
      </c>
      <c r="C3676" s="2">
        <f>HYPERLINK("https://svao.dolgi.msk.ru/account/1761769978/", 1761769978)</f>
        <v>1761769978</v>
      </c>
      <c r="D3676">
        <v>8747.69</v>
      </c>
    </row>
    <row r="3677" spans="1:4" x14ac:dyDescent="0.25">
      <c r="A3677" t="s">
        <v>473</v>
      </c>
      <c r="B3677" t="s">
        <v>145</v>
      </c>
      <c r="C3677" s="2">
        <f>HYPERLINK("https://svao.dolgi.msk.ru/account/1761769986/", 1761769986)</f>
        <v>1761769986</v>
      </c>
      <c r="D3677">
        <v>8965.06</v>
      </c>
    </row>
    <row r="3678" spans="1:4" x14ac:dyDescent="0.25">
      <c r="A3678" t="s">
        <v>473</v>
      </c>
      <c r="B3678" t="s">
        <v>47</v>
      </c>
      <c r="C3678" s="2">
        <f>HYPERLINK("https://svao.dolgi.msk.ru/account/1761770012/", 1761770012)</f>
        <v>1761770012</v>
      </c>
      <c r="D3678">
        <v>6242.24</v>
      </c>
    </row>
    <row r="3679" spans="1:4" x14ac:dyDescent="0.25">
      <c r="A3679" t="s">
        <v>473</v>
      </c>
      <c r="B3679" t="s">
        <v>250</v>
      </c>
      <c r="C3679" s="2">
        <f>HYPERLINK("https://svao.dolgi.msk.ru/account/1761770039/", 1761770039)</f>
        <v>1761770039</v>
      </c>
      <c r="D3679">
        <v>7716.54</v>
      </c>
    </row>
    <row r="3680" spans="1:4" x14ac:dyDescent="0.25">
      <c r="A3680" t="s">
        <v>473</v>
      </c>
      <c r="B3680" t="s">
        <v>146</v>
      </c>
      <c r="C3680" s="2">
        <f>HYPERLINK("https://svao.dolgi.msk.ru/account/1761770047/", 1761770047)</f>
        <v>1761770047</v>
      </c>
      <c r="D3680">
        <v>7942.25</v>
      </c>
    </row>
    <row r="3681" spans="1:4" x14ac:dyDescent="0.25">
      <c r="A3681" t="s">
        <v>473</v>
      </c>
      <c r="B3681" t="s">
        <v>49</v>
      </c>
      <c r="C3681" s="2">
        <f>HYPERLINK("https://svao.dolgi.msk.ru/account/1761770063/", 1761770063)</f>
        <v>1761770063</v>
      </c>
      <c r="D3681">
        <v>3147.59</v>
      </c>
    </row>
    <row r="3682" spans="1:4" x14ac:dyDescent="0.25">
      <c r="A3682" t="s">
        <v>473</v>
      </c>
      <c r="B3682" t="s">
        <v>294</v>
      </c>
      <c r="C3682" s="2">
        <f>HYPERLINK("https://svao.dolgi.msk.ru/account/1761770071/", 1761770071)</f>
        <v>1761770071</v>
      </c>
      <c r="D3682">
        <v>12004.4</v>
      </c>
    </row>
    <row r="3683" spans="1:4" x14ac:dyDescent="0.25">
      <c r="A3683" t="s">
        <v>473</v>
      </c>
      <c r="B3683" t="s">
        <v>251</v>
      </c>
      <c r="C3683" s="2">
        <f>HYPERLINK("https://svao.dolgi.msk.ru/account/1761770119/", 1761770119)</f>
        <v>1761770119</v>
      </c>
      <c r="D3683">
        <v>2786.4</v>
      </c>
    </row>
    <row r="3684" spans="1:4" x14ac:dyDescent="0.25">
      <c r="A3684" t="s">
        <v>473</v>
      </c>
      <c r="B3684" t="s">
        <v>306</v>
      </c>
      <c r="C3684" s="2">
        <f>HYPERLINK("https://svao.dolgi.msk.ru/account/1761770135/", 1761770135)</f>
        <v>1761770135</v>
      </c>
      <c r="D3684">
        <v>8964.64</v>
      </c>
    </row>
    <row r="3685" spans="1:4" x14ac:dyDescent="0.25">
      <c r="A3685" t="s">
        <v>473</v>
      </c>
      <c r="B3685" t="s">
        <v>50</v>
      </c>
      <c r="C3685" s="2">
        <f>HYPERLINK("https://svao.dolgi.msk.ru/account/1761770143/", 1761770143)</f>
        <v>1761770143</v>
      </c>
      <c r="D3685">
        <v>4499.1000000000004</v>
      </c>
    </row>
    <row r="3686" spans="1:4" x14ac:dyDescent="0.25">
      <c r="A3686" t="s">
        <v>473</v>
      </c>
      <c r="B3686" t="s">
        <v>331</v>
      </c>
      <c r="C3686" s="2">
        <f>HYPERLINK("https://svao.dolgi.msk.ru/account/1761770186/", 1761770186)</f>
        <v>1761770186</v>
      </c>
      <c r="D3686">
        <v>7760.47</v>
      </c>
    </row>
    <row r="3687" spans="1:4" x14ac:dyDescent="0.25">
      <c r="A3687" t="s">
        <v>473</v>
      </c>
      <c r="B3687" t="s">
        <v>52</v>
      </c>
      <c r="C3687" s="2">
        <f>HYPERLINK("https://svao.dolgi.msk.ru/account/1761770194/", 1761770194)</f>
        <v>1761770194</v>
      </c>
      <c r="D3687">
        <v>5359.9</v>
      </c>
    </row>
    <row r="3688" spans="1:4" x14ac:dyDescent="0.25">
      <c r="A3688" t="s">
        <v>473</v>
      </c>
      <c r="B3688" t="s">
        <v>316</v>
      </c>
      <c r="C3688" s="2">
        <f>HYPERLINK("https://svao.dolgi.msk.ru/account/1761770207/", 1761770207)</f>
        <v>1761770207</v>
      </c>
      <c r="D3688">
        <v>5655</v>
      </c>
    </row>
    <row r="3689" spans="1:4" x14ac:dyDescent="0.25">
      <c r="A3689" t="s">
        <v>473</v>
      </c>
      <c r="B3689" t="s">
        <v>149</v>
      </c>
      <c r="C3689" s="2">
        <f>HYPERLINK("https://svao.dolgi.msk.ru/account/1761770231/", 1761770231)</f>
        <v>1761770231</v>
      </c>
      <c r="D3689">
        <v>6469.21</v>
      </c>
    </row>
    <row r="3690" spans="1:4" x14ac:dyDescent="0.25">
      <c r="A3690" t="s">
        <v>473</v>
      </c>
      <c r="B3690" t="s">
        <v>54</v>
      </c>
      <c r="C3690" s="2">
        <f>HYPERLINK("https://svao.dolgi.msk.ru/account/1761770354/", 1761770354)</f>
        <v>1761770354</v>
      </c>
      <c r="D3690">
        <v>4360.01</v>
      </c>
    </row>
    <row r="3691" spans="1:4" x14ac:dyDescent="0.25">
      <c r="A3691" t="s">
        <v>473</v>
      </c>
      <c r="B3691" t="s">
        <v>254</v>
      </c>
      <c r="C3691" s="2">
        <f>HYPERLINK("https://svao.dolgi.msk.ru/account/1761770418/", 1761770418)</f>
        <v>1761770418</v>
      </c>
      <c r="D3691">
        <v>6698.19</v>
      </c>
    </row>
    <row r="3692" spans="1:4" x14ac:dyDescent="0.25">
      <c r="A3692" t="s">
        <v>473</v>
      </c>
      <c r="B3692" t="s">
        <v>318</v>
      </c>
      <c r="C3692" s="2">
        <f>HYPERLINK("https://svao.dolgi.msk.ru/account/1761770426/", 1761770426)</f>
        <v>1761770426</v>
      </c>
      <c r="D3692">
        <v>6035.82</v>
      </c>
    </row>
    <row r="3693" spans="1:4" x14ac:dyDescent="0.25">
      <c r="A3693" t="s">
        <v>473</v>
      </c>
      <c r="B3693" t="s">
        <v>297</v>
      </c>
      <c r="C3693" s="2">
        <f>HYPERLINK("https://svao.dolgi.msk.ru/account/1761770469/", 1761770469)</f>
        <v>1761770469</v>
      </c>
      <c r="D3693">
        <v>6470.56</v>
      </c>
    </row>
    <row r="3694" spans="1:4" x14ac:dyDescent="0.25">
      <c r="A3694" t="s">
        <v>473</v>
      </c>
      <c r="B3694" t="s">
        <v>153</v>
      </c>
      <c r="C3694" s="2">
        <f>HYPERLINK("https://svao.dolgi.msk.ru/account/1761770485/", 1761770485)</f>
        <v>1761770485</v>
      </c>
      <c r="D3694">
        <v>117970.71</v>
      </c>
    </row>
    <row r="3695" spans="1:4" x14ac:dyDescent="0.25">
      <c r="A3695" t="s">
        <v>473</v>
      </c>
      <c r="B3695" t="s">
        <v>327</v>
      </c>
      <c r="C3695" s="2">
        <f>HYPERLINK("https://svao.dolgi.msk.ru/account/1761770493/", 1761770493)</f>
        <v>1761770493</v>
      </c>
      <c r="D3695">
        <v>12420.62</v>
      </c>
    </row>
    <row r="3696" spans="1:4" x14ac:dyDescent="0.25">
      <c r="A3696" t="s">
        <v>473</v>
      </c>
      <c r="B3696" t="s">
        <v>56</v>
      </c>
      <c r="C3696" s="2">
        <f>HYPERLINK("https://svao.dolgi.msk.ru/account/1761770506/", 1761770506)</f>
        <v>1761770506</v>
      </c>
      <c r="D3696">
        <v>3686.22</v>
      </c>
    </row>
    <row r="3697" spans="1:4" x14ac:dyDescent="0.25">
      <c r="A3697" t="s">
        <v>473</v>
      </c>
      <c r="B3697" t="s">
        <v>328</v>
      </c>
      <c r="C3697" s="2">
        <f>HYPERLINK("https://svao.dolgi.msk.ru/account/1761770522/", 1761770522)</f>
        <v>1761770522</v>
      </c>
      <c r="D3697">
        <v>6653.68</v>
      </c>
    </row>
    <row r="3698" spans="1:4" x14ac:dyDescent="0.25">
      <c r="A3698" t="s">
        <v>473</v>
      </c>
      <c r="B3698" t="s">
        <v>335</v>
      </c>
      <c r="C3698" s="2">
        <f>HYPERLINK("https://svao.dolgi.msk.ru/account/1761770557/", 1761770557)</f>
        <v>1761770557</v>
      </c>
      <c r="D3698">
        <v>4676.21</v>
      </c>
    </row>
    <row r="3699" spans="1:4" x14ac:dyDescent="0.25">
      <c r="A3699" t="s">
        <v>473</v>
      </c>
      <c r="B3699" t="s">
        <v>155</v>
      </c>
      <c r="C3699" s="2">
        <f>HYPERLINK("https://svao.dolgi.msk.ru/account/1761770565/", 1761770565)</f>
        <v>1761770565</v>
      </c>
      <c r="D3699">
        <v>5384.9</v>
      </c>
    </row>
    <row r="3700" spans="1:4" x14ac:dyDescent="0.25">
      <c r="A3700" t="s">
        <v>473</v>
      </c>
      <c r="B3700" t="s">
        <v>377</v>
      </c>
      <c r="C3700" s="2">
        <f>HYPERLINK("https://svao.dolgi.msk.ru/account/1761770645/", 1761770645)</f>
        <v>1761770645</v>
      </c>
      <c r="D3700">
        <v>7343.85</v>
      </c>
    </row>
    <row r="3701" spans="1:4" x14ac:dyDescent="0.25">
      <c r="A3701" t="s">
        <v>473</v>
      </c>
      <c r="B3701" t="s">
        <v>57</v>
      </c>
      <c r="C3701" s="2">
        <f>HYPERLINK("https://svao.dolgi.msk.ru/account/1761770653/", 1761770653)</f>
        <v>1761770653</v>
      </c>
      <c r="D3701">
        <v>5362.64</v>
      </c>
    </row>
    <row r="3702" spans="1:4" x14ac:dyDescent="0.25">
      <c r="A3702" t="s">
        <v>473</v>
      </c>
      <c r="B3702" t="s">
        <v>299</v>
      </c>
      <c r="C3702" s="2">
        <f>HYPERLINK("https://svao.dolgi.msk.ru/account/1761770688/", 1761770688)</f>
        <v>1761770688</v>
      </c>
      <c r="D3702">
        <v>8183.61</v>
      </c>
    </row>
    <row r="3703" spans="1:4" x14ac:dyDescent="0.25">
      <c r="A3703" t="s">
        <v>473</v>
      </c>
      <c r="B3703" t="s">
        <v>158</v>
      </c>
      <c r="C3703" s="2">
        <f>HYPERLINK("https://svao.dolgi.msk.ru/account/1761770696/", 1761770696)</f>
        <v>1761770696</v>
      </c>
      <c r="D3703">
        <v>4360.4399999999996</v>
      </c>
    </row>
    <row r="3704" spans="1:4" x14ac:dyDescent="0.25">
      <c r="A3704" t="s">
        <v>473</v>
      </c>
      <c r="B3704" t="s">
        <v>336</v>
      </c>
      <c r="C3704" s="2">
        <f>HYPERLINK("https://svao.dolgi.msk.ru/account/1761770725/", 1761770725)</f>
        <v>1761770725</v>
      </c>
      <c r="D3704">
        <v>7153.67</v>
      </c>
    </row>
    <row r="3705" spans="1:4" x14ac:dyDescent="0.25">
      <c r="A3705" t="s">
        <v>473</v>
      </c>
      <c r="B3705" t="s">
        <v>61</v>
      </c>
      <c r="C3705" s="2">
        <f>HYPERLINK("https://svao.dolgi.msk.ru/account/1761770784/", 1761770784)</f>
        <v>1761770784</v>
      </c>
      <c r="D3705">
        <v>5870.18</v>
      </c>
    </row>
    <row r="3706" spans="1:4" x14ac:dyDescent="0.25">
      <c r="A3706" t="s">
        <v>473</v>
      </c>
      <c r="B3706" t="s">
        <v>159</v>
      </c>
      <c r="C3706" s="2">
        <f>HYPERLINK("https://svao.dolgi.msk.ru/account/1761770792/", 1761770792)</f>
        <v>1761770792</v>
      </c>
      <c r="D3706">
        <v>448.35</v>
      </c>
    </row>
    <row r="3707" spans="1:4" x14ac:dyDescent="0.25">
      <c r="A3707" t="s">
        <v>473</v>
      </c>
      <c r="B3707" t="s">
        <v>62</v>
      </c>
      <c r="C3707" s="2">
        <f>HYPERLINK("https://svao.dolgi.msk.ru/account/1761770805/", 1761770805)</f>
        <v>1761770805</v>
      </c>
      <c r="D3707">
        <v>46019.71</v>
      </c>
    </row>
    <row r="3708" spans="1:4" x14ac:dyDescent="0.25">
      <c r="A3708" t="s">
        <v>474</v>
      </c>
      <c r="B3708" t="s">
        <v>8</v>
      </c>
      <c r="C3708" s="2">
        <f>HYPERLINK("https://svao.dolgi.msk.ru/account/1761770944/", 1761770944)</f>
        <v>1761770944</v>
      </c>
      <c r="D3708">
        <v>7252.32</v>
      </c>
    </row>
    <row r="3709" spans="1:4" x14ac:dyDescent="0.25">
      <c r="A3709" t="s">
        <v>474</v>
      </c>
      <c r="B3709" t="s">
        <v>74</v>
      </c>
      <c r="C3709" s="2">
        <f>HYPERLINK("https://svao.dolgi.msk.ru/account/1761770952/", 1761770952)</f>
        <v>1761770952</v>
      </c>
      <c r="D3709">
        <v>14274.72</v>
      </c>
    </row>
    <row r="3710" spans="1:4" x14ac:dyDescent="0.25">
      <c r="A3710" t="s">
        <v>474</v>
      </c>
      <c r="B3710" t="s">
        <v>137</v>
      </c>
      <c r="C3710" s="2">
        <f>HYPERLINK("https://svao.dolgi.msk.ru/account/1761770979/", 1761770979)</f>
        <v>1761770979</v>
      </c>
      <c r="D3710">
        <v>6869.66</v>
      </c>
    </row>
    <row r="3711" spans="1:4" x14ac:dyDescent="0.25">
      <c r="A3711" t="s">
        <v>474</v>
      </c>
      <c r="B3711" t="s">
        <v>219</v>
      </c>
      <c r="C3711" s="2">
        <f>HYPERLINK("https://svao.dolgi.msk.ru/account/1761771023/", 1761771023)</f>
        <v>1761771023</v>
      </c>
      <c r="D3711">
        <v>6302</v>
      </c>
    </row>
    <row r="3712" spans="1:4" x14ac:dyDescent="0.25">
      <c r="A3712" t="s">
        <v>474</v>
      </c>
      <c r="B3712" t="s">
        <v>12</v>
      </c>
      <c r="C3712" s="2">
        <f>HYPERLINK("https://svao.dolgi.msk.ru/account/1761771058/", 1761771058)</f>
        <v>1761771058</v>
      </c>
      <c r="D3712">
        <v>8991.84</v>
      </c>
    </row>
    <row r="3713" spans="1:4" x14ac:dyDescent="0.25">
      <c r="A3713" t="s">
        <v>474</v>
      </c>
      <c r="B3713" t="s">
        <v>475</v>
      </c>
      <c r="C3713" s="2">
        <f>HYPERLINK("https://svao.dolgi.msk.ru/account/1761771138/", 1761771138)</f>
        <v>1761771138</v>
      </c>
      <c r="D3713">
        <v>10991.14</v>
      </c>
    </row>
    <row r="3714" spans="1:4" x14ac:dyDescent="0.25">
      <c r="A3714" t="s">
        <v>474</v>
      </c>
      <c r="B3714" t="s">
        <v>18</v>
      </c>
      <c r="C3714" s="2">
        <f>HYPERLINK("https://svao.dolgi.msk.ru/account/1761771154/", 1761771154)</f>
        <v>1761771154</v>
      </c>
      <c r="D3714">
        <v>3095.97</v>
      </c>
    </row>
    <row r="3715" spans="1:4" x14ac:dyDescent="0.25">
      <c r="A3715" t="s">
        <v>474</v>
      </c>
      <c r="B3715" t="s">
        <v>20</v>
      </c>
      <c r="C3715" s="2">
        <f>HYPERLINK("https://svao.dolgi.msk.ru/account/1761771197/", 1761771197)</f>
        <v>1761771197</v>
      </c>
      <c r="D3715">
        <v>14965.86</v>
      </c>
    </row>
    <row r="3716" spans="1:4" x14ac:dyDescent="0.25">
      <c r="A3716" t="s">
        <v>474</v>
      </c>
      <c r="B3716" t="s">
        <v>93</v>
      </c>
      <c r="C3716" s="2">
        <f>HYPERLINK("https://svao.dolgi.msk.ru/account/1761771234/", 1761771234)</f>
        <v>1761771234</v>
      </c>
      <c r="D3716">
        <v>4180.18</v>
      </c>
    </row>
    <row r="3717" spans="1:4" x14ac:dyDescent="0.25">
      <c r="A3717" t="s">
        <v>474</v>
      </c>
      <c r="B3717" t="s">
        <v>113</v>
      </c>
      <c r="C3717" s="2">
        <f>HYPERLINK("https://svao.dolgi.msk.ru/account/1761771285/", 1761771285)</f>
        <v>1761771285</v>
      </c>
      <c r="D3717">
        <v>7583.15</v>
      </c>
    </row>
    <row r="3718" spans="1:4" x14ac:dyDescent="0.25">
      <c r="A3718" t="s">
        <v>474</v>
      </c>
      <c r="B3718" t="s">
        <v>77</v>
      </c>
      <c r="C3718" s="2">
        <f>HYPERLINK("https://svao.dolgi.msk.ru/account/1761771306/", 1761771306)</f>
        <v>1761771306</v>
      </c>
      <c r="D3718">
        <v>8004.62</v>
      </c>
    </row>
    <row r="3719" spans="1:4" x14ac:dyDescent="0.25">
      <c r="A3719" t="s">
        <v>474</v>
      </c>
      <c r="B3719" t="s">
        <v>114</v>
      </c>
      <c r="C3719" s="2">
        <f>HYPERLINK("https://svao.dolgi.msk.ru/account/1761771314/", 1761771314)</f>
        <v>1761771314</v>
      </c>
      <c r="D3719">
        <v>7037.02</v>
      </c>
    </row>
    <row r="3720" spans="1:4" x14ac:dyDescent="0.25">
      <c r="A3720" t="s">
        <v>474</v>
      </c>
      <c r="B3720" t="s">
        <v>23</v>
      </c>
      <c r="C3720" s="2">
        <f>HYPERLINK("https://svao.dolgi.msk.ru/account/1761771365/", 1761771365)</f>
        <v>1761771365</v>
      </c>
      <c r="D3720">
        <v>6948.28</v>
      </c>
    </row>
    <row r="3721" spans="1:4" x14ac:dyDescent="0.25">
      <c r="A3721" t="s">
        <v>474</v>
      </c>
      <c r="B3721" t="s">
        <v>117</v>
      </c>
      <c r="C3721" s="2">
        <f>HYPERLINK("https://svao.dolgi.msk.ru/account/1761771381/", 1761771381)</f>
        <v>1761771381</v>
      </c>
      <c r="D3721">
        <v>5585.38</v>
      </c>
    </row>
    <row r="3722" spans="1:4" x14ac:dyDescent="0.25">
      <c r="A3722" t="s">
        <v>474</v>
      </c>
      <c r="B3722" t="s">
        <v>127</v>
      </c>
      <c r="C3722" s="2">
        <f>HYPERLINK("https://svao.dolgi.msk.ru/account/1761771533/", 1761771533)</f>
        <v>1761771533</v>
      </c>
      <c r="D3722">
        <v>6448.39</v>
      </c>
    </row>
    <row r="3723" spans="1:4" x14ac:dyDescent="0.25">
      <c r="A3723" t="s">
        <v>474</v>
      </c>
      <c r="B3723" t="s">
        <v>81</v>
      </c>
      <c r="C3723" s="2">
        <f>HYPERLINK("https://svao.dolgi.msk.ru/account/1761771541/", 1761771541)</f>
        <v>1761771541</v>
      </c>
      <c r="D3723">
        <v>613.28</v>
      </c>
    </row>
    <row r="3724" spans="1:4" x14ac:dyDescent="0.25">
      <c r="A3724" t="s">
        <v>474</v>
      </c>
      <c r="B3724" t="s">
        <v>120</v>
      </c>
      <c r="C3724" s="2">
        <f>HYPERLINK("https://svao.dolgi.msk.ru/account/1761771576/", 1761771576)</f>
        <v>1761771576</v>
      </c>
      <c r="D3724">
        <v>21121.16</v>
      </c>
    </row>
    <row r="3725" spans="1:4" x14ac:dyDescent="0.25">
      <c r="A3725" t="s">
        <v>474</v>
      </c>
      <c r="B3725" t="s">
        <v>82</v>
      </c>
      <c r="C3725" s="2">
        <f>HYPERLINK("https://svao.dolgi.msk.ru/account/1761771584/", 1761771584)</f>
        <v>1761771584</v>
      </c>
      <c r="D3725">
        <v>17266.13</v>
      </c>
    </row>
    <row r="3726" spans="1:4" x14ac:dyDescent="0.25">
      <c r="A3726" t="s">
        <v>474</v>
      </c>
      <c r="B3726" t="s">
        <v>25</v>
      </c>
      <c r="C3726" s="2">
        <f>HYPERLINK("https://svao.dolgi.msk.ru/account/1761771605/", 1761771605)</f>
        <v>1761771605</v>
      </c>
      <c r="D3726">
        <v>10116.01</v>
      </c>
    </row>
    <row r="3727" spans="1:4" x14ac:dyDescent="0.25">
      <c r="A3727" t="s">
        <v>474</v>
      </c>
      <c r="B3727" t="s">
        <v>133</v>
      </c>
      <c r="C3727" s="2">
        <f>HYPERLINK("https://svao.dolgi.msk.ru/account/1761771656/", 1761771656)</f>
        <v>1761771656</v>
      </c>
      <c r="D3727">
        <v>8145.32</v>
      </c>
    </row>
    <row r="3728" spans="1:4" x14ac:dyDescent="0.25">
      <c r="A3728" t="s">
        <v>474</v>
      </c>
      <c r="B3728" t="s">
        <v>27</v>
      </c>
      <c r="C3728" s="2">
        <f>HYPERLINK("https://svao.dolgi.msk.ru/account/1761771672/", 1761771672)</f>
        <v>1761771672</v>
      </c>
      <c r="D3728">
        <v>10087.58</v>
      </c>
    </row>
    <row r="3729" spans="1:4" x14ac:dyDescent="0.25">
      <c r="A3729" t="s">
        <v>474</v>
      </c>
      <c r="B3729" t="s">
        <v>243</v>
      </c>
      <c r="C3729" s="2">
        <f>HYPERLINK("https://svao.dolgi.msk.ru/account/1761771701/", 1761771701)</f>
        <v>1761771701</v>
      </c>
      <c r="D3729">
        <v>124.17</v>
      </c>
    </row>
    <row r="3730" spans="1:4" x14ac:dyDescent="0.25">
      <c r="A3730" t="s">
        <v>474</v>
      </c>
      <c r="B3730" t="s">
        <v>121</v>
      </c>
      <c r="C3730" s="2">
        <f>HYPERLINK("https://svao.dolgi.msk.ru/account/1761771728/", 1761771728)</f>
        <v>1761771728</v>
      </c>
      <c r="D3730">
        <v>5594.84</v>
      </c>
    </row>
    <row r="3731" spans="1:4" x14ac:dyDescent="0.25">
      <c r="A3731" t="s">
        <v>474</v>
      </c>
      <c r="B3731" t="s">
        <v>139</v>
      </c>
      <c r="C3731" s="2">
        <f>HYPERLINK("https://svao.dolgi.msk.ru/account/1761771744/", 1761771744)</f>
        <v>1761771744</v>
      </c>
      <c r="D3731">
        <v>12277.27</v>
      </c>
    </row>
    <row r="3732" spans="1:4" x14ac:dyDescent="0.25">
      <c r="A3732" t="s">
        <v>474</v>
      </c>
      <c r="B3732" t="s">
        <v>30</v>
      </c>
      <c r="C3732" s="2">
        <f>HYPERLINK("https://svao.dolgi.msk.ru/account/1761771808/", 1761771808)</f>
        <v>1761771808</v>
      </c>
      <c r="D3732">
        <v>7773.81</v>
      </c>
    </row>
    <row r="3733" spans="1:4" x14ac:dyDescent="0.25">
      <c r="A3733" t="s">
        <v>474</v>
      </c>
      <c r="B3733" t="s">
        <v>97</v>
      </c>
      <c r="C3733" s="2">
        <f>HYPERLINK("https://svao.dolgi.msk.ru/account/1761771816/", 1761771816)</f>
        <v>1761771816</v>
      </c>
      <c r="D3733">
        <v>5741.88</v>
      </c>
    </row>
    <row r="3734" spans="1:4" x14ac:dyDescent="0.25">
      <c r="A3734" t="s">
        <v>474</v>
      </c>
      <c r="B3734" t="s">
        <v>98</v>
      </c>
      <c r="C3734" s="2">
        <f>HYPERLINK("https://svao.dolgi.msk.ru/account/1761771859/", 1761771859)</f>
        <v>1761771859</v>
      </c>
      <c r="D3734">
        <v>7423.62</v>
      </c>
    </row>
    <row r="3735" spans="1:4" x14ac:dyDescent="0.25">
      <c r="A3735" t="s">
        <v>474</v>
      </c>
      <c r="B3735" t="s">
        <v>291</v>
      </c>
      <c r="C3735" s="2">
        <f>HYPERLINK("https://svao.dolgi.msk.ru/account/1761771867/", 1761771867)</f>
        <v>1761771867</v>
      </c>
      <c r="D3735">
        <v>5728.83</v>
      </c>
    </row>
    <row r="3736" spans="1:4" x14ac:dyDescent="0.25">
      <c r="A3736" t="s">
        <v>474</v>
      </c>
      <c r="B3736" t="s">
        <v>86</v>
      </c>
      <c r="C3736" s="2">
        <f>HYPERLINK("https://svao.dolgi.msk.ru/account/1761771963/", 1761771963)</f>
        <v>1761771963</v>
      </c>
      <c r="D3736">
        <v>8356.6299999999992</v>
      </c>
    </row>
    <row r="3737" spans="1:4" x14ac:dyDescent="0.25">
      <c r="A3737" t="s">
        <v>474</v>
      </c>
      <c r="B3737" t="s">
        <v>36</v>
      </c>
      <c r="C3737" s="2">
        <f>HYPERLINK("https://svao.dolgi.msk.ru/account/1761772018/", 1761772018)</f>
        <v>1761772018</v>
      </c>
      <c r="D3737">
        <v>731.19</v>
      </c>
    </row>
    <row r="3738" spans="1:4" x14ac:dyDescent="0.25">
      <c r="A3738" t="s">
        <v>474</v>
      </c>
      <c r="B3738" t="s">
        <v>38</v>
      </c>
      <c r="C3738" s="2">
        <f>HYPERLINK("https://svao.dolgi.msk.ru/account/1761772077/", 1761772077)</f>
        <v>1761772077</v>
      </c>
      <c r="D3738">
        <v>59040.38</v>
      </c>
    </row>
    <row r="3739" spans="1:4" x14ac:dyDescent="0.25">
      <c r="A3739" t="s">
        <v>474</v>
      </c>
      <c r="B3739" t="s">
        <v>44</v>
      </c>
      <c r="C3739" s="2">
        <f>HYPERLINK("https://svao.dolgi.msk.ru/account/1761772122/", 1761772122)</f>
        <v>1761772122</v>
      </c>
      <c r="D3739">
        <v>10259.35</v>
      </c>
    </row>
    <row r="3740" spans="1:4" x14ac:dyDescent="0.25">
      <c r="A3740" t="s">
        <v>474</v>
      </c>
      <c r="B3740" t="s">
        <v>89</v>
      </c>
      <c r="C3740" s="2">
        <f>HYPERLINK("https://svao.dolgi.msk.ru/account/1761772149/", 1761772149)</f>
        <v>1761772149</v>
      </c>
      <c r="D3740">
        <v>9213.5499999999993</v>
      </c>
    </row>
    <row r="3741" spans="1:4" x14ac:dyDescent="0.25">
      <c r="A3741" t="s">
        <v>474</v>
      </c>
      <c r="B3741" t="s">
        <v>142</v>
      </c>
      <c r="C3741" s="2">
        <f>HYPERLINK("https://svao.dolgi.msk.ru/account/1761772157/", 1761772157)</f>
        <v>1761772157</v>
      </c>
      <c r="D3741">
        <v>65116.06</v>
      </c>
    </row>
    <row r="3742" spans="1:4" x14ac:dyDescent="0.25">
      <c r="A3742" t="s">
        <v>474</v>
      </c>
      <c r="B3742" t="s">
        <v>247</v>
      </c>
      <c r="C3742" s="2">
        <f>HYPERLINK("https://svao.dolgi.msk.ru/account/1761772165/", 1761772165)</f>
        <v>1761772165</v>
      </c>
      <c r="D3742">
        <v>18887.669999999998</v>
      </c>
    </row>
    <row r="3743" spans="1:4" x14ac:dyDescent="0.25">
      <c r="A3743" t="s">
        <v>474</v>
      </c>
      <c r="B3743" t="s">
        <v>144</v>
      </c>
      <c r="C3743" s="2">
        <f>HYPERLINK("https://svao.dolgi.msk.ru/account/1761772229/", 1761772229)</f>
        <v>1761772229</v>
      </c>
      <c r="D3743">
        <v>13340.94</v>
      </c>
    </row>
    <row r="3744" spans="1:4" x14ac:dyDescent="0.25">
      <c r="A3744" t="s">
        <v>474</v>
      </c>
      <c r="B3744" t="s">
        <v>315</v>
      </c>
      <c r="C3744" s="2">
        <f>HYPERLINK("https://svao.dolgi.msk.ru/account/1761772237/", 1761772237)</f>
        <v>1761772237</v>
      </c>
      <c r="D3744">
        <v>6205.06</v>
      </c>
    </row>
    <row r="3745" spans="1:4" x14ac:dyDescent="0.25">
      <c r="A3745" t="s">
        <v>474</v>
      </c>
      <c r="B3745" t="s">
        <v>301</v>
      </c>
      <c r="C3745" s="2">
        <f>HYPERLINK("https://svao.dolgi.msk.ru/account/1761772245/", 1761772245)</f>
        <v>1761772245</v>
      </c>
      <c r="D3745">
        <v>6102.7</v>
      </c>
    </row>
    <row r="3746" spans="1:4" x14ac:dyDescent="0.25">
      <c r="A3746" t="s">
        <v>474</v>
      </c>
      <c r="B3746" t="s">
        <v>251</v>
      </c>
      <c r="C3746" s="2">
        <f>HYPERLINK("https://svao.dolgi.msk.ru/account/1761772405/", 1761772405)</f>
        <v>1761772405</v>
      </c>
      <c r="D3746">
        <v>10890.74</v>
      </c>
    </row>
    <row r="3747" spans="1:4" x14ac:dyDescent="0.25">
      <c r="A3747" t="s">
        <v>474</v>
      </c>
      <c r="B3747" t="s">
        <v>306</v>
      </c>
      <c r="C3747" s="2">
        <f>HYPERLINK("https://svao.dolgi.msk.ru/account/1761772421/", 1761772421)</f>
        <v>1761772421</v>
      </c>
      <c r="D3747">
        <v>2165.17</v>
      </c>
    </row>
    <row r="3748" spans="1:4" x14ac:dyDescent="0.25">
      <c r="A3748" t="s">
        <v>476</v>
      </c>
      <c r="B3748" t="s">
        <v>6</v>
      </c>
      <c r="C3748" s="2">
        <f>HYPERLINK("https://svao.dolgi.msk.ru/account/1761772448/", 1761772448)</f>
        <v>1761772448</v>
      </c>
      <c r="D3748">
        <v>6201.02</v>
      </c>
    </row>
    <row r="3749" spans="1:4" x14ac:dyDescent="0.25">
      <c r="A3749" t="s">
        <v>476</v>
      </c>
      <c r="B3749" t="s">
        <v>7</v>
      </c>
      <c r="C3749" s="2">
        <f>HYPERLINK("https://svao.dolgi.msk.ru/account/1761772472/", 1761772472)</f>
        <v>1761772472</v>
      </c>
      <c r="D3749">
        <v>6513.46</v>
      </c>
    </row>
    <row r="3750" spans="1:4" x14ac:dyDescent="0.25">
      <c r="A3750" t="s">
        <v>476</v>
      </c>
      <c r="B3750" t="s">
        <v>141</v>
      </c>
      <c r="C3750" s="2">
        <f>HYPERLINK("https://svao.dolgi.msk.ru/account/1761772501/", 1761772501)</f>
        <v>1761772501</v>
      </c>
      <c r="D3750">
        <v>11560.86</v>
      </c>
    </row>
    <row r="3751" spans="1:4" x14ac:dyDescent="0.25">
      <c r="A3751" t="s">
        <v>476</v>
      </c>
      <c r="B3751" t="s">
        <v>9</v>
      </c>
      <c r="C3751" s="2">
        <f>HYPERLINK("https://svao.dolgi.msk.ru/account/1761772608/", 1761772608)</f>
        <v>1761772608</v>
      </c>
      <c r="D3751">
        <v>161</v>
      </c>
    </row>
    <row r="3752" spans="1:4" x14ac:dyDescent="0.25">
      <c r="A3752" t="s">
        <v>476</v>
      </c>
      <c r="B3752" t="s">
        <v>91</v>
      </c>
      <c r="C3752" s="2">
        <f>HYPERLINK("https://svao.dolgi.msk.ru/account/1761772624/", 1761772624)</f>
        <v>1761772624</v>
      </c>
      <c r="D3752">
        <v>7373.76</v>
      </c>
    </row>
    <row r="3753" spans="1:4" x14ac:dyDescent="0.25">
      <c r="A3753" t="s">
        <v>476</v>
      </c>
      <c r="B3753" t="s">
        <v>12</v>
      </c>
      <c r="C3753" s="2">
        <f>HYPERLINK("https://svao.dolgi.msk.ru/account/1761772675/", 1761772675)</f>
        <v>1761772675</v>
      </c>
      <c r="D3753">
        <v>8587.7000000000007</v>
      </c>
    </row>
    <row r="3754" spans="1:4" x14ac:dyDescent="0.25">
      <c r="A3754" t="s">
        <v>476</v>
      </c>
      <c r="B3754" t="s">
        <v>14</v>
      </c>
      <c r="C3754" s="2">
        <f>HYPERLINK("https://svao.dolgi.msk.ru/account/1761772691/", 1761772691)</f>
        <v>1761772691</v>
      </c>
      <c r="D3754">
        <v>4201.9799999999996</v>
      </c>
    </row>
    <row r="3755" spans="1:4" x14ac:dyDescent="0.25">
      <c r="A3755" t="s">
        <v>476</v>
      </c>
      <c r="B3755" t="s">
        <v>106</v>
      </c>
      <c r="C3755" s="2">
        <f>HYPERLINK("https://svao.dolgi.msk.ru/account/1761772704/", 1761772704)</f>
        <v>1761772704</v>
      </c>
      <c r="D3755">
        <v>6809.81</v>
      </c>
    </row>
    <row r="3756" spans="1:4" x14ac:dyDescent="0.25">
      <c r="A3756" t="s">
        <v>476</v>
      </c>
      <c r="B3756" t="s">
        <v>17</v>
      </c>
      <c r="C3756" s="2">
        <f>HYPERLINK("https://svao.dolgi.msk.ru/account/1761772763/", 1761772763)</f>
        <v>1761772763</v>
      </c>
      <c r="D3756">
        <v>389.56</v>
      </c>
    </row>
    <row r="3757" spans="1:4" x14ac:dyDescent="0.25">
      <c r="A3757" t="s">
        <v>476</v>
      </c>
      <c r="B3757" t="s">
        <v>110</v>
      </c>
      <c r="C3757" s="2">
        <f>HYPERLINK("https://svao.dolgi.msk.ru/account/1761772827/", 1761772827)</f>
        <v>1761772827</v>
      </c>
      <c r="D3757">
        <v>17015.400000000001</v>
      </c>
    </row>
    <row r="3758" spans="1:4" x14ac:dyDescent="0.25">
      <c r="A3758" t="s">
        <v>476</v>
      </c>
      <c r="B3758" t="s">
        <v>20</v>
      </c>
      <c r="C3758" s="2">
        <f>HYPERLINK("https://svao.dolgi.msk.ru/account/1761772835/", 1761772835)</f>
        <v>1761772835</v>
      </c>
      <c r="D3758">
        <v>8956.81</v>
      </c>
    </row>
    <row r="3759" spans="1:4" x14ac:dyDescent="0.25">
      <c r="A3759" t="s">
        <v>476</v>
      </c>
      <c r="B3759" t="s">
        <v>92</v>
      </c>
      <c r="C3759" s="2">
        <f>HYPERLINK("https://svao.dolgi.msk.ru/account/1761772851/", 1761772851)</f>
        <v>1761772851</v>
      </c>
      <c r="D3759">
        <v>5946.56</v>
      </c>
    </row>
    <row r="3760" spans="1:4" x14ac:dyDescent="0.25">
      <c r="A3760" t="s">
        <v>476</v>
      </c>
      <c r="B3760" t="s">
        <v>78</v>
      </c>
      <c r="C3760" s="2">
        <f>HYPERLINK("https://svao.dolgi.msk.ru/account/1761772958/", 1761772958)</f>
        <v>1761772958</v>
      </c>
      <c r="D3760">
        <v>152952.59</v>
      </c>
    </row>
    <row r="3761" spans="1:4" x14ac:dyDescent="0.25">
      <c r="A3761" t="s">
        <v>476</v>
      </c>
      <c r="B3761" t="s">
        <v>22</v>
      </c>
      <c r="C3761" s="2">
        <f>HYPERLINK("https://svao.dolgi.msk.ru/account/1761772966/", 1761772966)</f>
        <v>1761772966</v>
      </c>
      <c r="D3761">
        <v>19670.36</v>
      </c>
    </row>
    <row r="3762" spans="1:4" x14ac:dyDescent="0.25">
      <c r="A3762" t="s">
        <v>476</v>
      </c>
      <c r="B3762" t="s">
        <v>124</v>
      </c>
      <c r="C3762" s="2">
        <f>HYPERLINK("https://svao.dolgi.msk.ru/account/1761773002/", 1761773002)</f>
        <v>1761773002</v>
      </c>
      <c r="D3762">
        <v>9124.39</v>
      </c>
    </row>
    <row r="3763" spans="1:4" x14ac:dyDescent="0.25">
      <c r="A3763" t="s">
        <v>476</v>
      </c>
      <c r="B3763" t="s">
        <v>117</v>
      </c>
      <c r="C3763" s="2">
        <f>HYPERLINK("https://svao.dolgi.msk.ru/account/1761773029/", 1761773029)</f>
        <v>1761773029</v>
      </c>
      <c r="D3763">
        <v>4154.04</v>
      </c>
    </row>
    <row r="3764" spans="1:4" x14ac:dyDescent="0.25">
      <c r="A3764" t="s">
        <v>476</v>
      </c>
      <c r="B3764" t="s">
        <v>131</v>
      </c>
      <c r="C3764" s="2">
        <f>HYPERLINK("https://svao.dolgi.msk.ru/account/1761773109/", 1761773109)</f>
        <v>1761773109</v>
      </c>
      <c r="D3764">
        <v>191756.32</v>
      </c>
    </row>
    <row r="3765" spans="1:4" x14ac:dyDescent="0.25">
      <c r="A3765" t="s">
        <v>476</v>
      </c>
      <c r="B3765" t="s">
        <v>125</v>
      </c>
      <c r="C3765" s="2">
        <f>HYPERLINK("https://svao.dolgi.msk.ru/account/1761773117/", 1761773117)</f>
        <v>1761773117</v>
      </c>
      <c r="D3765">
        <v>67054.679999999993</v>
      </c>
    </row>
    <row r="3766" spans="1:4" x14ac:dyDescent="0.25">
      <c r="A3766" t="s">
        <v>476</v>
      </c>
      <c r="B3766" t="s">
        <v>118</v>
      </c>
      <c r="C3766" s="2">
        <f>HYPERLINK("https://svao.dolgi.msk.ru/account/1761773141/", 1761773141)</f>
        <v>1761773141</v>
      </c>
      <c r="D3766">
        <v>8760.33</v>
      </c>
    </row>
    <row r="3767" spans="1:4" x14ac:dyDescent="0.25">
      <c r="A3767" t="s">
        <v>476</v>
      </c>
      <c r="B3767" t="s">
        <v>81</v>
      </c>
      <c r="C3767" s="2">
        <f>HYPERLINK("https://svao.dolgi.msk.ru/account/1761773176/", 1761773176)</f>
        <v>1761773176</v>
      </c>
      <c r="D3767">
        <v>7019.3</v>
      </c>
    </row>
    <row r="3768" spans="1:4" x14ac:dyDescent="0.25">
      <c r="A3768" t="s">
        <v>476</v>
      </c>
      <c r="B3768" t="s">
        <v>82</v>
      </c>
      <c r="C3768" s="2">
        <f>HYPERLINK("https://svao.dolgi.msk.ru/account/1761773213/", 1761773213)</f>
        <v>1761773213</v>
      </c>
      <c r="D3768">
        <v>1354.3</v>
      </c>
    </row>
    <row r="3769" spans="1:4" x14ac:dyDescent="0.25">
      <c r="A3769" t="s">
        <v>476</v>
      </c>
      <c r="B3769" t="s">
        <v>96</v>
      </c>
      <c r="C3769" s="2">
        <f>HYPERLINK("https://svao.dolgi.msk.ru/account/1761773301/", 1761773301)</f>
        <v>1761773301</v>
      </c>
      <c r="D3769">
        <v>270970.69</v>
      </c>
    </row>
    <row r="3770" spans="1:4" x14ac:dyDescent="0.25">
      <c r="A3770" t="s">
        <v>476</v>
      </c>
      <c r="B3770" t="s">
        <v>27</v>
      </c>
      <c r="C3770" s="2">
        <f>HYPERLINK("https://svao.dolgi.msk.ru/account/1761773328/", 1761773328)</f>
        <v>1761773328</v>
      </c>
      <c r="D3770">
        <v>17364.96</v>
      </c>
    </row>
    <row r="3771" spans="1:4" x14ac:dyDescent="0.25">
      <c r="A3771" t="s">
        <v>476</v>
      </c>
      <c r="B3771" t="s">
        <v>121</v>
      </c>
      <c r="C3771" s="2">
        <f>HYPERLINK("https://svao.dolgi.msk.ru/account/1761773352/", 1761773352)</f>
        <v>1761773352</v>
      </c>
      <c r="D3771">
        <v>9470.0300000000007</v>
      </c>
    </row>
    <row r="3772" spans="1:4" x14ac:dyDescent="0.25">
      <c r="A3772" t="s">
        <v>476</v>
      </c>
      <c r="B3772" t="s">
        <v>139</v>
      </c>
      <c r="C3772" s="2">
        <f>HYPERLINK("https://svao.dolgi.msk.ru/account/1761773387/", 1761773387)</f>
        <v>1761773387</v>
      </c>
      <c r="D3772">
        <v>6075.93</v>
      </c>
    </row>
    <row r="3773" spans="1:4" x14ac:dyDescent="0.25">
      <c r="A3773" t="s">
        <v>476</v>
      </c>
      <c r="B3773" t="s">
        <v>30</v>
      </c>
      <c r="C3773" s="2">
        <f>HYPERLINK("https://svao.dolgi.msk.ru/account/1761773432/", 1761773432)</f>
        <v>1761773432</v>
      </c>
      <c r="D3773">
        <v>932.77</v>
      </c>
    </row>
    <row r="3774" spans="1:4" x14ac:dyDescent="0.25">
      <c r="A3774" t="s">
        <v>476</v>
      </c>
      <c r="B3774" t="s">
        <v>97</v>
      </c>
      <c r="C3774" s="2">
        <f>HYPERLINK("https://svao.dolgi.msk.ru/account/1761773459/", 1761773459)</f>
        <v>1761773459</v>
      </c>
      <c r="D3774">
        <v>441791.81</v>
      </c>
    </row>
    <row r="3775" spans="1:4" x14ac:dyDescent="0.25">
      <c r="A3775" t="s">
        <v>476</v>
      </c>
      <c r="B3775" t="s">
        <v>31</v>
      </c>
      <c r="C3775" s="2">
        <f>HYPERLINK("https://svao.dolgi.msk.ru/account/1761773475/", 1761773475)</f>
        <v>1761773475</v>
      </c>
      <c r="D3775">
        <v>68004.37</v>
      </c>
    </row>
    <row r="3776" spans="1:4" x14ac:dyDescent="0.25">
      <c r="A3776" t="s">
        <v>476</v>
      </c>
      <c r="B3776" t="s">
        <v>98</v>
      </c>
      <c r="C3776" s="2">
        <f>HYPERLINK("https://svao.dolgi.msk.ru/account/1761773483/", 1761773483)</f>
        <v>1761773483</v>
      </c>
      <c r="D3776">
        <v>6595.78</v>
      </c>
    </row>
    <row r="3777" spans="1:4" x14ac:dyDescent="0.25">
      <c r="A3777" t="s">
        <v>476</v>
      </c>
      <c r="B3777" t="s">
        <v>291</v>
      </c>
      <c r="C3777" s="2">
        <f>HYPERLINK("https://svao.dolgi.msk.ru/account/1761773491/", 1761773491)</f>
        <v>1761773491</v>
      </c>
      <c r="D3777">
        <v>5663.07</v>
      </c>
    </row>
    <row r="3778" spans="1:4" x14ac:dyDescent="0.25">
      <c r="A3778" t="s">
        <v>476</v>
      </c>
      <c r="B3778" t="s">
        <v>245</v>
      </c>
      <c r="C3778" s="2">
        <f>HYPERLINK("https://svao.dolgi.msk.ru/account/1761773504/", 1761773504)</f>
        <v>1761773504</v>
      </c>
      <c r="D3778">
        <v>10611.06</v>
      </c>
    </row>
    <row r="3779" spans="1:4" x14ac:dyDescent="0.25">
      <c r="A3779" t="s">
        <v>476</v>
      </c>
      <c r="B3779" t="s">
        <v>35</v>
      </c>
      <c r="C3779" s="2">
        <f>HYPERLINK("https://svao.dolgi.msk.ru/account/1761773563/", 1761773563)</f>
        <v>1761773563</v>
      </c>
      <c r="D3779">
        <v>7863.19</v>
      </c>
    </row>
    <row r="3780" spans="1:4" x14ac:dyDescent="0.25">
      <c r="A3780" t="s">
        <v>476</v>
      </c>
      <c r="B3780" t="s">
        <v>135</v>
      </c>
      <c r="C3780" s="2">
        <f>HYPERLINK("https://svao.dolgi.msk.ru/account/1761773598/", 1761773598)</f>
        <v>1761773598</v>
      </c>
      <c r="D3780">
        <v>14257.8</v>
      </c>
    </row>
    <row r="3781" spans="1:4" x14ac:dyDescent="0.25">
      <c r="A3781" t="s">
        <v>476</v>
      </c>
      <c r="B3781" t="s">
        <v>86</v>
      </c>
      <c r="C3781" s="2">
        <f>HYPERLINK("https://svao.dolgi.msk.ru/account/1761773619/", 1761773619)</f>
        <v>1761773619</v>
      </c>
      <c r="D3781">
        <v>9251.9500000000007</v>
      </c>
    </row>
    <row r="3782" spans="1:4" x14ac:dyDescent="0.25">
      <c r="A3782" t="s">
        <v>476</v>
      </c>
      <c r="B3782" t="s">
        <v>333</v>
      </c>
      <c r="C3782" s="2">
        <f>HYPERLINK("https://svao.dolgi.msk.ru/account/1761773643/", 1761773643)</f>
        <v>1761773643</v>
      </c>
      <c r="D3782">
        <v>1725</v>
      </c>
    </row>
    <row r="3783" spans="1:4" x14ac:dyDescent="0.25">
      <c r="A3783" t="s">
        <v>476</v>
      </c>
      <c r="B3783" t="s">
        <v>88</v>
      </c>
      <c r="C3783" s="2">
        <f>HYPERLINK("https://svao.dolgi.msk.ru/account/1761773707/", 1761773707)</f>
        <v>1761773707</v>
      </c>
      <c r="D3783">
        <v>243.69</v>
      </c>
    </row>
    <row r="3784" spans="1:4" x14ac:dyDescent="0.25">
      <c r="A3784" t="s">
        <v>476</v>
      </c>
      <c r="B3784" t="s">
        <v>304</v>
      </c>
      <c r="C3784" s="2">
        <f>HYPERLINK("https://svao.dolgi.msk.ru/account/1761773723/", 1761773723)</f>
        <v>1761773723</v>
      </c>
      <c r="D3784">
        <v>9339.91</v>
      </c>
    </row>
    <row r="3785" spans="1:4" x14ac:dyDescent="0.25">
      <c r="A3785" t="s">
        <v>476</v>
      </c>
      <c r="B3785" t="s">
        <v>37</v>
      </c>
      <c r="C3785" s="2">
        <f>HYPERLINK("https://svao.dolgi.msk.ru/account/1761773731/", 1761773731)</f>
        <v>1761773731</v>
      </c>
      <c r="D3785">
        <v>14204.15</v>
      </c>
    </row>
    <row r="3786" spans="1:4" x14ac:dyDescent="0.25">
      <c r="A3786" t="s">
        <v>476</v>
      </c>
      <c r="B3786" t="s">
        <v>140</v>
      </c>
      <c r="C3786" s="2">
        <f>HYPERLINK("https://svao.dolgi.msk.ru/account/1761773838/", 1761773838)</f>
        <v>1761773838</v>
      </c>
      <c r="D3786">
        <v>8325.89</v>
      </c>
    </row>
    <row r="3787" spans="1:4" x14ac:dyDescent="0.25">
      <c r="A3787" t="s">
        <v>476</v>
      </c>
      <c r="B3787" t="s">
        <v>89</v>
      </c>
      <c r="C3787" s="2">
        <f>HYPERLINK("https://svao.dolgi.msk.ru/account/1761773854/", 1761773854)</f>
        <v>1761773854</v>
      </c>
      <c r="D3787">
        <v>5291.5</v>
      </c>
    </row>
    <row r="3788" spans="1:4" x14ac:dyDescent="0.25">
      <c r="A3788" t="s">
        <v>476</v>
      </c>
      <c r="B3788" t="s">
        <v>305</v>
      </c>
      <c r="C3788" s="2">
        <f>HYPERLINK("https://svao.dolgi.msk.ru/account/1761773897/", 1761773897)</f>
        <v>1761773897</v>
      </c>
      <c r="D3788">
        <v>37811.26</v>
      </c>
    </row>
    <row r="3789" spans="1:4" x14ac:dyDescent="0.25">
      <c r="A3789" t="s">
        <v>476</v>
      </c>
      <c r="B3789" t="s">
        <v>144</v>
      </c>
      <c r="C3789" s="2">
        <f>HYPERLINK("https://svao.dolgi.msk.ru/account/1761773934/", 1761773934)</f>
        <v>1761773934</v>
      </c>
      <c r="D3789">
        <v>8030.86</v>
      </c>
    </row>
    <row r="3790" spans="1:4" x14ac:dyDescent="0.25">
      <c r="A3790" t="s">
        <v>476</v>
      </c>
      <c r="B3790" t="s">
        <v>315</v>
      </c>
      <c r="C3790" s="2">
        <f>HYPERLINK("https://svao.dolgi.msk.ru/account/1761773942/", 1761773942)</f>
        <v>1761773942</v>
      </c>
      <c r="D3790">
        <v>9571.4699999999993</v>
      </c>
    </row>
    <row r="3791" spans="1:4" x14ac:dyDescent="0.25">
      <c r="A3791" t="s">
        <v>476</v>
      </c>
      <c r="B3791" t="s">
        <v>47</v>
      </c>
      <c r="C3791" s="2">
        <f>HYPERLINK("https://svao.dolgi.msk.ru/account/1761774056/", 1761774056)</f>
        <v>1761774056</v>
      </c>
      <c r="D3791">
        <v>9775.3799999999992</v>
      </c>
    </row>
    <row r="3792" spans="1:4" x14ac:dyDescent="0.25">
      <c r="A3792" t="s">
        <v>476</v>
      </c>
      <c r="B3792" t="s">
        <v>146</v>
      </c>
      <c r="C3792" s="2">
        <f>HYPERLINK("https://svao.dolgi.msk.ru/account/1761774187/", 1761774187)</f>
        <v>1761774187</v>
      </c>
      <c r="D3792">
        <v>9369.7199999999993</v>
      </c>
    </row>
    <row r="3793" spans="1:4" x14ac:dyDescent="0.25">
      <c r="A3793" t="s">
        <v>476</v>
      </c>
      <c r="B3793" t="s">
        <v>48</v>
      </c>
      <c r="C3793" s="2">
        <f>HYPERLINK("https://svao.dolgi.msk.ru/account/1761774195/", 1761774195)</f>
        <v>1761774195</v>
      </c>
      <c r="D3793">
        <v>6368.16</v>
      </c>
    </row>
    <row r="3794" spans="1:4" x14ac:dyDescent="0.25">
      <c r="A3794" t="s">
        <v>476</v>
      </c>
      <c r="B3794" t="s">
        <v>49</v>
      </c>
      <c r="C3794" s="2">
        <f>HYPERLINK("https://svao.dolgi.msk.ru/account/1761774224/", 1761774224)</f>
        <v>1761774224</v>
      </c>
      <c r="D3794">
        <v>8926.42</v>
      </c>
    </row>
    <row r="3795" spans="1:4" x14ac:dyDescent="0.25">
      <c r="A3795" t="s">
        <v>476</v>
      </c>
      <c r="B3795" t="s">
        <v>147</v>
      </c>
      <c r="C3795" s="2">
        <f>HYPERLINK("https://svao.dolgi.msk.ru/account/1761774304/", 1761774304)</f>
        <v>1761774304</v>
      </c>
      <c r="D3795">
        <v>539527.42000000004</v>
      </c>
    </row>
    <row r="3796" spans="1:4" x14ac:dyDescent="0.25">
      <c r="A3796" t="s">
        <v>476</v>
      </c>
      <c r="B3796" t="s">
        <v>306</v>
      </c>
      <c r="C3796" s="2">
        <f>HYPERLINK("https://svao.dolgi.msk.ru/account/1761774363/", 1761774363)</f>
        <v>1761774363</v>
      </c>
      <c r="D3796">
        <v>9302.18</v>
      </c>
    </row>
    <row r="3797" spans="1:4" x14ac:dyDescent="0.25">
      <c r="A3797" t="s">
        <v>476</v>
      </c>
      <c r="B3797" t="s">
        <v>331</v>
      </c>
      <c r="C3797" s="2">
        <f>HYPERLINK("https://svao.dolgi.msk.ru/account/1761774435/", 1761774435)</f>
        <v>1761774435</v>
      </c>
      <c r="D3797">
        <v>6903.66</v>
      </c>
    </row>
    <row r="3798" spans="1:4" x14ac:dyDescent="0.25">
      <c r="A3798" t="s">
        <v>476</v>
      </c>
      <c r="B3798" t="s">
        <v>316</v>
      </c>
      <c r="C3798" s="2">
        <f>HYPERLINK("https://svao.dolgi.msk.ru/account/1761774478/", 1761774478)</f>
        <v>1761774478</v>
      </c>
      <c r="D3798">
        <v>10843.83</v>
      </c>
    </row>
    <row r="3799" spans="1:4" x14ac:dyDescent="0.25">
      <c r="A3799" t="s">
        <v>476</v>
      </c>
      <c r="B3799" t="s">
        <v>295</v>
      </c>
      <c r="C3799" s="2">
        <f>HYPERLINK("https://svao.dolgi.msk.ru/account/1761774507/", 1761774507)</f>
        <v>1761774507</v>
      </c>
      <c r="D3799">
        <v>204</v>
      </c>
    </row>
    <row r="3800" spans="1:4" x14ac:dyDescent="0.25">
      <c r="A3800" t="s">
        <v>476</v>
      </c>
      <c r="B3800" t="s">
        <v>151</v>
      </c>
      <c r="C3800" s="2">
        <f>HYPERLINK("https://svao.dolgi.msk.ru/account/1761774574/", 1761774574)</f>
        <v>1761774574</v>
      </c>
      <c r="D3800">
        <v>12528.05</v>
      </c>
    </row>
    <row r="3801" spans="1:4" x14ac:dyDescent="0.25">
      <c r="A3801" t="s">
        <v>476</v>
      </c>
      <c r="B3801" t="s">
        <v>152</v>
      </c>
      <c r="C3801" s="2">
        <f>HYPERLINK("https://svao.dolgi.msk.ru/account/1761774638/", 1761774638)</f>
        <v>1761774638</v>
      </c>
      <c r="D3801">
        <v>5940.01</v>
      </c>
    </row>
    <row r="3802" spans="1:4" x14ac:dyDescent="0.25">
      <c r="A3802" t="s">
        <v>476</v>
      </c>
      <c r="B3802" t="s">
        <v>317</v>
      </c>
      <c r="C3802" s="2">
        <f>HYPERLINK("https://svao.dolgi.msk.ru/account/1761774654/", 1761774654)</f>
        <v>1761774654</v>
      </c>
      <c r="D3802">
        <v>204</v>
      </c>
    </row>
    <row r="3803" spans="1:4" x14ac:dyDescent="0.25">
      <c r="A3803" t="s">
        <v>476</v>
      </c>
      <c r="B3803" t="s">
        <v>53</v>
      </c>
      <c r="C3803" s="2">
        <f>HYPERLINK("https://svao.dolgi.msk.ru/account/1761774662/", 1761774662)</f>
        <v>1761774662</v>
      </c>
      <c r="D3803">
        <v>10628.93</v>
      </c>
    </row>
    <row r="3804" spans="1:4" x14ac:dyDescent="0.25">
      <c r="A3804" t="s">
        <v>476</v>
      </c>
      <c r="B3804" t="s">
        <v>54</v>
      </c>
      <c r="C3804" s="2">
        <f>HYPERLINK("https://svao.dolgi.msk.ru/account/1761774726/", 1761774726)</f>
        <v>1761774726</v>
      </c>
      <c r="D3804">
        <v>8768.4599999999991</v>
      </c>
    </row>
    <row r="3805" spans="1:4" x14ac:dyDescent="0.25">
      <c r="A3805" t="s">
        <v>476</v>
      </c>
      <c r="B3805" t="s">
        <v>308</v>
      </c>
      <c r="C3805" s="2">
        <f>HYPERLINK("https://svao.dolgi.msk.ru/account/1761774742/", 1761774742)</f>
        <v>1761774742</v>
      </c>
      <c r="D3805">
        <v>12156.71</v>
      </c>
    </row>
    <row r="3806" spans="1:4" x14ac:dyDescent="0.25">
      <c r="A3806" t="s">
        <v>476</v>
      </c>
      <c r="B3806" t="s">
        <v>254</v>
      </c>
      <c r="C3806" s="2">
        <f>HYPERLINK("https://svao.dolgi.msk.ru/account/1761774777/", 1761774777)</f>
        <v>1761774777</v>
      </c>
      <c r="D3806">
        <v>5888.68</v>
      </c>
    </row>
    <row r="3807" spans="1:4" x14ac:dyDescent="0.25">
      <c r="A3807" t="s">
        <v>476</v>
      </c>
      <c r="B3807" t="s">
        <v>255</v>
      </c>
      <c r="C3807" s="2">
        <f>HYPERLINK("https://svao.dolgi.msk.ru/account/1761774793/", 1761774793)</f>
        <v>1761774793</v>
      </c>
      <c r="D3807">
        <v>20065.93</v>
      </c>
    </row>
    <row r="3808" spans="1:4" x14ac:dyDescent="0.25">
      <c r="A3808" t="s">
        <v>476</v>
      </c>
      <c r="B3808" t="s">
        <v>55</v>
      </c>
      <c r="C3808" s="2">
        <f>HYPERLINK("https://svao.dolgi.msk.ru/account/1761774814/", 1761774814)</f>
        <v>1761774814</v>
      </c>
      <c r="D3808">
        <v>22039.56</v>
      </c>
    </row>
    <row r="3809" spans="1:4" x14ac:dyDescent="0.25">
      <c r="A3809" t="s">
        <v>476</v>
      </c>
      <c r="B3809" t="s">
        <v>312</v>
      </c>
      <c r="C3809" s="2">
        <f>HYPERLINK("https://svao.dolgi.msk.ru/account/1761775008/", 1761775008)</f>
        <v>1761775008</v>
      </c>
      <c r="D3809">
        <v>6987.3</v>
      </c>
    </row>
    <row r="3810" spans="1:4" x14ac:dyDescent="0.25">
      <c r="A3810" t="s">
        <v>476</v>
      </c>
      <c r="B3810" t="s">
        <v>335</v>
      </c>
      <c r="C3810" s="2">
        <f>HYPERLINK("https://svao.dolgi.msk.ru/account/1761775024/", 1761775024)</f>
        <v>1761775024</v>
      </c>
      <c r="D3810">
        <v>5084.08</v>
      </c>
    </row>
    <row r="3811" spans="1:4" x14ac:dyDescent="0.25">
      <c r="A3811" t="s">
        <v>476</v>
      </c>
      <c r="B3811" t="s">
        <v>155</v>
      </c>
      <c r="C3811" s="2">
        <f>HYPERLINK("https://svao.dolgi.msk.ru/account/1761775032/", 1761775032)</f>
        <v>1761775032</v>
      </c>
      <c r="D3811">
        <v>5115.78</v>
      </c>
    </row>
    <row r="3812" spans="1:4" x14ac:dyDescent="0.25">
      <c r="A3812" t="s">
        <v>476</v>
      </c>
      <c r="B3812" t="s">
        <v>156</v>
      </c>
      <c r="C3812" s="2">
        <f>HYPERLINK("https://svao.dolgi.msk.ru/account/1761775067/", 1761775067)</f>
        <v>1761775067</v>
      </c>
      <c r="D3812">
        <v>6082.11</v>
      </c>
    </row>
    <row r="3813" spans="1:4" x14ac:dyDescent="0.25">
      <c r="A3813" t="s">
        <v>476</v>
      </c>
      <c r="B3813" t="s">
        <v>477</v>
      </c>
      <c r="C3813" s="2">
        <f>HYPERLINK("https://svao.dolgi.msk.ru/account/1761775112/", 1761775112)</f>
        <v>1761775112</v>
      </c>
      <c r="D3813">
        <v>2086.1</v>
      </c>
    </row>
    <row r="3814" spans="1:4" x14ac:dyDescent="0.25">
      <c r="A3814" t="s">
        <v>476</v>
      </c>
      <c r="B3814" t="s">
        <v>336</v>
      </c>
      <c r="C3814" s="2">
        <f>HYPERLINK("https://svao.dolgi.msk.ru/account/1761775331/", 1761775331)</f>
        <v>1761775331</v>
      </c>
      <c r="D3814">
        <v>14791.04</v>
      </c>
    </row>
    <row r="3815" spans="1:4" x14ac:dyDescent="0.25">
      <c r="A3815" t="s">
        <v>476</v>
      </c>
      <c r="B3815" t="s">
        <v>60</v>
      </c>
      <c r="C3815" s="2">
        <f>HYPERLINK("https://svao.dolgi.msk.ru/account/1761775358/", 1761775358)</f>
        <v>1761775358</v>
      </c>
      <c r="D3815">
        <v>18939.650000000001</v>
      </c>
    </row>
    <row r="3816" spans="1:4" x14ac:dyDescent="0.25">
      <c r="A3816" t="s">
        <v>476</v>
      </c>
      <c r="B3816" t="s">
        <v>61</v>
      </c>
      <c r="C3816" s="2">
        <f>HYPERLINK("https://svao.dolgi.msk.ru/account/1761775446/", 1761775446)</f>
        <v>1761775446</v>
      </c>
      <c r="D3816">
        <v>213192.07</v>
      </c>
    </row>
    <row r="3817" spans="1:4" x14ac:dyDescent="0.25">
      <c r="A3817" t="s">
        <v>476</v>
      </c>
      <c r="B3817" t="s">
        <v>159</v>
      </c>
      <c r="C3817" s="2">
        <f>HYPERLINK("https://svao.dolgi.msk.ru/account/1761775462/", 1761775462)</f>
        <v>1761775462</v>
      </c>
      <c r="D3817">
        <v>6416.67</v>
      </c>
    </row>
    <row r="3818" spans="1:4" x14ac:dyDescent="0.25">
      <c r="A3818" t="s">
        <v>476</v>
      </c>
      <c r="B3818" t="s">
        <v>62</v>
      </c>
      <c r="C3818" s="2">
        <f>HYPERLINK("https://svao.dolgi.msk.ru/account/1761775577/", 1761775577)</f>
        <v>1761775577</v>
      </c>
      <c r="D3818">
        <v>6577.85</v>
      </c>
    </row>
    <row r="3819" spans="1:4" x14ac:dyDescent="0.25">
      <c r="A3819" t="s">
        <v>476</v>
      </c>
      <c r="B3819" t="s">
        <v>257</v>
      </c>
      <c r="C3819" s="2">
        <f>HYPERLINK("https://svao.dolgi.msk.ru/account/1761775593/", 1761775593)</f>
        <v>1761775593</v>
      </c>
      <c r="D3819">
        <v>4886.3900000000003</v>
      </c>
    </row>
    <row r="3820" spans="1:4" x14ac:dyDescent="0.25">
      <c r="A3820" t="s">
        <v>476</v>
      </c>
      <c r="B3820" t="s">
        <v>65</v>
      </c>
      <c r="C3820" s="2">
        <f>HYPERLINK("https://svao.dolgi.msk.ru/account/1761775737/", 1761775737)</f>
        <v>1761775737</v>
      </c>
      <c r="D3820">
        <v>1183.46</v>
      </c>
    </row>
    <row r="3821" spans="1:4" x14ac:dyDescent="0.25">
      <c r="A3821" t="s">
        <v>476</v>
      </c>
      <c r="B3821" t="s">
        <v>346</v>
      </c>
      <c r="C3821" s="2">
        <f>HYPERLINK("https://svao.dolgi.msk.ru/account/1761775796/", 1761775796)</f>
        <v>1761775796</v>
      </c>
      <c r="D3821">
        <v>10891.1</v>
      </c>
    </row>
    <row r="3822" spans="1:4" x14ac:dyDescent="0.25">
      <c r="A3822" t="s">
        <v>476</v>
      </c>
      <c r="B3822" t="s">
        <v>68</v>
      </c>
      <c r="C3822" s="2">
        <f>HYPERLINK("https://svao.dolgi.msk.ru/account/1761775948/", 1761775948)</f>
        <v>1761775948</v>
      </c>
      <c r="D3822">
        <v>12576.83</v>
      </c>
    </row>
    <row r="3823" spans="1:4" x14ac:dyDescent="0.25">
      <c r="A3823" t="s">
        <v>476</v>
      </c>
      <c r="B3823" t="s">
        <v>260</v>
      </c>
      <c r="C3823" s="2">
        <f>HYPERLINK("https://svao.dolgi.msk.ru/account/1761776035/", 1761776035)</f>
        <v>1761776035</v>
      </c>
      <c r="D3823">
        <v>4988.8999999999996</v>
      </c>
    </row>
    <row r="3824" spans="1:4" x14ac:dyDescent="0.25">
      <c r="A3824" t="s">
        <v>476</v>
      </c>
      <c r="B3824" t="s">
        <v>435</v>
      </c>
      <c r="C3824" s="2">
        <f>HYPERLINK("https://svao.dolgi.msk.ru/account/1761776086/", 1761776086)</f>
        <v>1761776086</v>
      </c>
      <c r="D3824">
        <v>9745.6</v>
      </c>
    </row>
    <row r="3825" spans="1:4" x14ac:dyDescent="0.25">
      <c r="A3825" t="s">
        <v>476</v>
      </c>
      <c r="B3825" t="s">
        <v>416</v>
      </c>
      <c r="C3825" s="2">
        <f>HYPERLINK("https://svao.dolgi.msk.ru/account/1761776107/", 1761776107)</f>
        <v>1761776107</v>
      </c>
      <c r="D3825">
        <v>9538.73</v>
      </c>
    </row>
    <row r="3826" spans="1:4" x14ac:dyDescent="0.25">
      <c r="A3826" t="s">
        <v>476</v>
      </c>
      <c r="B3826" t="s">
        <v>261</v>
      </c>
      <c r="C3826" s="2">
        <f>HYPERLINK("https://svao.dolgi.msk.ru/account/1761776123/", 1761776123)</f>
        <v>1761776123</v>
      </c>
      <c r="D3826">
        <v>3316.91</v>
      </c>
    </row>
    <row r="3827" spans="1:4" x14ac:dyDescent="0.25">
      <c r="A3827" t="s">
        <v>476</v>
      </c>
      <c r="B3827" t="s">
        <v>417</v>
      </c>
      <c r="C3827" s="2">
        <f>HYPERLINK("https://svao.dolgi.msk.ru/account/1761776262/", 1761776262)</f>
        <v>1761776262</v>
      </c>
      <c r="D3827">
        <v>6652.76</v>
      </c>
    </row>
    <row r="3828" spans="1:4" x14ac:dyDescent="0.25">
      <c r="A3828" t="s">
        <v>476</v>
      </c>
      <c r="B3828" t="s">
        <v>168</v>
      </c>
      <c r="C3828" s="2">
        <f>HYPERLINK("https://svao.dolgi.msk.ru/account/1761776377/", 1761776377)</f>
        <v>1761776377</v>
      </c>
      <c r="D3828">
        <v>4790.96</v>
      </c>
    </row>
    <row r="3829" spans="1:4" x14ac:dyDescent="0.25">
      <c r="A3829" t="s">
        <v>476</v>
      </c>
      <c r="B3829" t="s">
        <v>169</v>
      </c>
      <c r="C3829" s="2">
        <f>HYPERLINK("https://svao.dolgi.msk.ru/account/1761776393/", 1761776393)</f>
        <v>1761776393</v>
      </c>
      <c r="D3829">
        <v>7658.25</v>
      </c>
    </row>
    <row r="3830" spans="1:4" x14ac:dyDescent="0.25">
      <c r="A3830" t="s">
        <v>476</v>
      </c>
      <c r="B3830" t="s">
        <v>419</v>
      </c>
      <c r="C3830" s="2">
        <f>HYPERLINK("https://svao.dolgi.msk.ru/account/1761776406/", 1761776406)</f>
        <v>1761776406</v>
      </c>
      <c r="D3830">
        <v>4320.25</v>
      </c>
    </row>
    <row r="3831" spans="1:4" x14ac:dyDescent="0.25">
      <c r="A3831" t="s">
        <v>476</v>
      </c>
      <c r="B3831" t="s">
        <v>264</v>
      </c>
      <c r="C3831" s="2">
        <f>HYPERLINK("https://svao.dolgi.msk.ru/account/1761776481/", 1761776481)</f>
        <v>1761776481</v>
      </c>
      <c r="D3831">
        <v>4784.34</v>
      </c>
    </row>
    <row r="3832" spans="1:4" x14ac:dyDescent="0.25">
      <c r="A3832" t="s">
        <v>476</v>
      </c>
      <c r="B3832" t="s">
        <v>478</v>
      </c>
      <c r="C3832" s="2">
        <f>HYPERLINK("https://svao.dolgi.msk.ru/account/1761776537/", 1761776537)</f>
        <v>1761776537</v>
      </c>
      <c r="D3832">
        <v>11341.28</v>
      </c>
    </row>
    <row r="3833" spans="1:4" x14ac:dyDescent="0.25">
      <c r="A3833" t="s">
        <v>476</v>
      </c>
      <c r="B3833" t="s">
        <v>265</v>
      </c>
      <c r="C3833" s="2">
        <f>HYPERLINK("https://svao.dolgi.msk.ru/account/1761776545/", 1761776545)</f>
        <v>1761776545</v>
      </c>
      <c r="D3833">
        <v>5994.13</v>
      </c>
    </row>
    <row r="3834" spans="1:4" x14ac:dyDescent="0.25">
      <c r="A3834" t="s">
        <v>476</v>
      </c>
      <c r="B3834" t="s">
        <v>431</v>
      </c>
      <c r="C3834" s="2">
        <f>HYPERLINK("https://svao.dolgi.msk.ru/account/1761776561/", 1761776561)</f>
        <v>1761776561</v>
      </c>
      <c r="D3834">
        <v>6966.15</v>
      </c>
    </row>
    <row r="3835" spans="1:4" x14ac:dyDescent="0.25">
      <c r="A3835" t="s">
        <v>476</v>
      </c>
      <c r="B3835" t="s">
        <v>436</v>
      </c>
      <c r="C3835" s="2">
        <f>HYPERLINK("https://svao.dolgi.msk.ru/account/1761776596/", 1761776596)</f>
        <v>1761776596</v>
      </c>
      <c r="D3835">
        <v>1284.67</v>
      </c>
    </row>
    <row r="3836" spans="1:4" x14ac:dyDescent="0.25">
      <c r="A3836" t="s">
        <v>476</v>
      </c>
      <c r="B3836" t="s">
        <v>173</v>
      </c>
      <c r="C3836" s="2">
        <f>HYPERLINK("https://svao.dolgi.msk.ru/account/1761776633/", 1761776633)</f>
        <v>1761776633</v>
      </c>
      <c r="D3836">
        <v>9453.08</v>
      </c>
    </row>
    <row r="3837" spans="1:4" x14ac:dyDescent="0.25">
      <c r="A3837" t="s">
        <v>476</v>
      </c>
      <c r="B3837" t="s">
        <v>479</v>
      </c>
      <c r="C3837" s="2">
        <f>HYPERLINK("https://svao.dolgi.msk.ru/account/1761776668/", 1761776668)</f>
        <v>1761776668</v>
      </c>
      <c r="D3837">
        <v>12072.34</v>
      </c>
    </row>
    <row r="3838" spans="1:4" x14ac:dyDescent="0.25">
      <c r="A3838" t="s">
        <v>476</v>
      </c>
      <c r="B3838" t="s">
        <v>352</v>
      </c>
      <c r="C3838" s="2">
        <f>HYPERLINK("https://svao.dolgi.msk.ru/account/1761776721/", 1761776721)</f>
        <v>1761776721</v>
      </c>
      <c r="D3838">
        <v>7911.17</v>
      </c>
    </row>
    <row r="3839" spans="1:4" x14ac:dyDescent="0.25">
      <c r="A3839" t="s">
        <v>476</v>
      </c>
      <c r="B3839" t="s">
        <v>420</v>
      </c>
      <c r="C3839" s="2">
        <f>HYPERLINK("https://svao.dolgi.msk.ru/account/1761776772/", 1761776772)</f>
        <v>1761776772</v>
      </c>
      <c r="D3839">
        <v>8504.44</v>
      </c>
    </row>
    <row r="3840" spans="1:4" x14ac:dyDescent="0.25">
      <c r="A3840" t="s">
        <v>480</v>
      </c>
      <c r="B3840" t="s">
        <v>41</v>
      </c>
      <c r="C3840" s="2">
        <f>HYPERLINK("https://svao.dolgi.msk.ru/account/1761773635/", 1761773635)</f>
        <v>1761773635</v>
      </c>
      <c r="D3840">
        <v>137453.70000000001</v>
      </c>
    </row>
    <row r="3841" spans="1:4" x14ac:dyDescent="0.25">
      <c r="A3841" t="s">
        <v>480</v>
      </c>
      <c r="B3841" t="s">
        <v>7</v>
      </c>
      <c r="C3841" s="2">
        <f>HYPERLINK("https://svao.dolgi.msk.ru/account/1761773686/", 1761773686)</f>
        <v>1761773686</v>
      </c>
      <c r="D3841">
        <v>65272.480000000003</v>
      </c>
    </row>
    <row r="3842" spans="1:4" x14ac:dyDescent="0.25">
      <c r="A3842" t="s">
        <v>480</v>
      </c>
      <c r="B3842" t="s">
        <v>141</v>
      </c>
      <c r="C3842" s="2">
        <f>HYPERLINK("https://svao.dolgi.msk.ru/account/1761773803/", 1761773803)</f>
        <v>1761773803</v>
      </c>
      <c r="D3842">
        <v>24111.56</v>
      </c>
    </row>
    <row r="3843" spans="1:4" x14ac:dyDescent="0.25">
      <c r="A3843" t="s">
        <v>480</v>
      </c>
      <c r="B3843" t="s">
        <v>102</v>
      </c>
      <c r="C3843" s="2">
        <f>HYPERLINK("https://svao.dolgi.msk.ru/account/1761774013/", 1761774013)</f>
        <v>1761774013</v>
      </c>
      <c r="D3843">
        <v>7985.89</v>
      </c>
    </row>
    <row r="3844" spans="1:4" x14ac:dyDescent="0.25">
      <c r="A3844" t="s">
        <v>480</v>
      </c>
      <c r="B3844" t="s">
        <v>73</v>
      </c>
      <c r="C3844" s="2">
        <f>HYPERLINK("https://svao.dolgi.msk.ru/account/1761774064/", 1761774064)</f>
        <v>1761774064</v>
      </c>
      <c r="D3844">
        <v>11515.79</v>
      </c>
    </row>
    <row r="3845" spans="1:4" x14ac:dyDescent="0.25">
      <c r="A3845" t="s">
        <v>480</v>
      </c>
      <c r="B3845" t="s">
        <v>8</v>
      </c>
      <c r="C3845" s="2">
        <f>HYPERLINK("https://svao.dolgi.msk.ru/account/1761774101/", 1761774101)</f>
        <v>1761774101</v>
      </c>
      <c r="D3845">
        <v>5610.81</v>
      </c>
    </row>
    <row r="3846" spans="1:4" x14ac:dyDescent="0.25">
      <c r="A3846" t="s">
        <v>480</v>
      </c>
      <c r="B3846" t="s">
        <v>9</v>
      </c>
      <c r="C3846" s="2">
        <f>HYPERLINK("https://svao.dolgi.msk.ru/account/1761774144/", 1761774144)</f>
        <v>1761774144</v>
      </c>
      <c r="D3846">
        <v>30423.86</v>
      </c>
    </row>
    <row r="3847" spans="1:4" x14ac:dyDescent="0.25">
      <c r="A3847" t="s">
        <v>480</v>
      </c>
      <c r="B3847" t="s">
        <v>107</v>
      </c>
      <c r="C3847" s="2">
        <f>HYPERLINK("https://svao.dolgi.msk.ru/account/1761774339/", 1761774339)</f>
        <v>1761774339</v>
      </c>
      <c r="D3847">
        <v>7798.68</v>
      </c>
    </row>
    <row r="3848" spans="1:4" x14ac:dyDescent="0.25">
      <c r="A3848" t="s">
        <v>480</v>
      </c>
      <c r="B3848" t="s">
        <v>19</v>
      </c>
      <c r="C3848" s="2">
        <f>HYPERLINK("https://svao.dolgi.msk.ru/account/1761774558/", 1761774558)</f>
        <v>1761774558</v>
      </c>
      <c r="D3848">
        <v>4414.0600000000004</v>
      </c>
    </row>
    <row r="3849" spans="1:4" x14ac:dyDescent="0.25">
      <c r="A3849" t="s">
        <v>480</v>
      </c>
      <c r="B3849" t="s">
        <v>76</v>
      </c>
      <c r="C3849" s="2">
        <f>HYPERLINK("https://svao.dolgi.msk.ru/account/1761774689/", 1761774689)</f>
        <v>1761774689</v>
      </c>
      <c r="D3849">
        <v>4358.12</v>
      </c>
    </row>
    <row r="3850" spans="1:4" x14ac:dyDescent="0.25">
      <c r="A3850" t="s">
        <v>480</v>
      </c>
      <c r="B3850" t="s">
        <v>111</v>
      </c>
      <c r="C3850" s="2">
        <f>HYPERLINK("https://svao.dolgi.msk.ru/account/1761774822/", 1761774822)</f>
        <v>1761774822</v>
      </c>
      <c r="D3850">
        <v>6241.8</v>
      </c>
    </row>
    <row r="3851" spans="1:4" x14ac:dyDescent="0.25">
      <c r="A3851" t="s">
        <v>480</v>
      </c>
      <c r="B3851" t="s">
        <v>94</v>
      </c>
      <c r="C3851" s="2">
        <f>HYPERLINK("https://svao.dolgi.msk.ru/account/1761774865/", 1761774865)</f>
        <v>1761774865</v>
      </c>
      <c r="D3851">
        <v>8137.12</v>
      </c>
    </row>
    <row r="3852" spans="1:4" x14ac:dyDescent="0.25">
      <c r="A3852" t="s">
        <v>480</v>
      </c>
      <c r="B3852" t="s">
        <v>112</v>
      </c>
      <c r="C3852" s="2">
        <f>HYPERLINK("https://svao.dolgi.msk.ru/account/1761774881/", 1761774881)</f>
        <v>1761774881</v>
      </c>
      <c r="D3852">
        <v>6945.29</v>
      </c>
    </row>
    <row r="3853" spans="1:4" x14ac:dyDescent="0.25">
      <c r="A3853" t="s">
        <v>480</v>
      </c>
      <c r="B3853" t="s">
        <v>77</v>
      </c>
      <c r="C3853" s="2">
        <f>HYPERLINK("https://svao.dolgi.msk.ru/account/1761774988/", 1761774988)</f>
        <v>1761774988</v>
      </c>
      <c r="D3853">
        <v>20148.509999999998</v>
      </c>
    </row>
    <row r="3854" spans="1:4" x14ac:dyDescent="0.25">
      <c r="A3854" t="s">
        <v>480</v>
      </c>
      <c r="B3854" t="s">
        <v>78</v>
      </c>
      <c r="C3854" s="2">
        <f>HYPERLINK("https://svao.dolgi.msk.ru/account/1761775016/", 1761775016)</f>
        <v>1761775016</v>
      </c>
      <c r="D3854">
        <v>11258.95</v>
      </c>
    </row>
    <row r="3855" spans="1:4" x14ac:dyDescent="0.25">
      <c r="A3855" t="s">
        <v>480</v>
      </c>
      <c r="B3855" t="s">
        <v>23</v>
      </c>
      <c r="C3855" s="2">
        <f>HYPERLINK("https://svao.dolgi.msk.ru/account/1761775104/", 1761775104)</f>
        <v>1761775104</v>
      </c>
      <c r="D3855">
        <v>5306.66</v>
      </c>
    </row>
    <row r="3856" spans="1:4" x14ac:dyDescent="0.25">
      <c r="A3856" t="s">
        <v>480</v>
      </c>
      <c r="B3856" t="s">
        <v>124</v>
      </c>
      <c r="C3856" s="2">
        <f>HYPERLINK("https://svao.dolgi.msk.ru/account/1761775139/", 1761775139)</f>
        <v>1761775139</v>
      </c>
      <c r="D3856">
        <v>6848.13</v>
      </c>
    </row>
    <row r="3857" spans="1:4" x14ac:dyDescent="0.25">
      <c r="A3857" t="s">
        <v>480</v>
      </c>
      <c r="B3857" t="s">
        <v>117</v>
      </c>
      <c r="C3857" s="2">
        <f>HYPERLINK("https://svao.dolgi.msk.ru/account/1761775155/", 1761775155)</f>
        <v>1761775155</v>
      </c>
      <c r="D3857">
        <v>5741.85</v>
      </c>
    </row>
    <row r="3858" spans="1:4" x14ac:dyDescent="0.25">
      <c r="A3858" t="s">
        <v>480</v>
      </c>
      <c r="B3858" t="s">
        <v>115</v>
      </c>
      <c r="C3858" s="2">
        <f>HYPERLINK("https://svao.dolgi.msk.ru/account/1761775198/", 1761775198)</f>
        <v>1761775198</v>
      </c>
      <c r="D3858">
        <v>4310.0600000000004</v>
      </c>
    </row>
    <row r="3859" spans="1:4" x14ac:dyDescent="0.25">
      <c r="A3859" t="s">
        <v>480</v>
      </c>
      <c r="B3859" t="s">
        <v>24</v>
      </c>
      <c r="C3859" s="2">
        <f>HYPERLINK("https://svao.dolgi.msk.ru/account/1761775243/", 1761775243)</f>
        <v>1761775243</v>
      </c>
      <c r="D3859">
        <v>11793.23</v>
      </c>
    </row>
    <row r="3860" spans="1:4" x14ac:dyDescent="0.25">
      <c r="A3860" t="s">
        <v>480</v>
      </c>
      <c r="B3860" t="s">
        <v>242</v>
      </c>
      <c r="C3860" s="2">
        <f>HYPERLINK("https://svao.dolgi.msk.ru/account/1761775278/", 1761775278)</f>
        <v>1761775278</v>
      </c>
      <c r="D3860">
        <v>5070.17</v>
      </c>
    </row>
    <row r="3861" spans="1:4" x14ac:dyDescent="0.25">
      <c r="A3861" t="s">
        <v>480</v>
      </c>
      <c r="B3861" t="s">
        <v>126</v>
      </c>
      <c r="C3861" s="2">
        <f>HYPERLINK("https://svao.dolgi.msk.ru/account/1761775366/", 1761775366)</f>
        <v>1761775366</v>
      </c>
      <c r="D3861">
        <v>5138.13</v>
      </c>
    </row>
    <row r="3862" spans="1:4" x14ac:dyDescent="0.25">
      <c r="A3862" t="s">
        <v>480</v>
      </c>
      <c r="B3862" t="s">
        <v>80</v>
      </c>
      <c r="C3862" s="2">
        <f>HYPERLINK("https://svao.dolgi.msk.ru/account/1761775382/", 1761775382)</f>
        <v>1761775382</v>
      </c>
      <c r="D3862">
        <v>40125.919999999998</v>
      </c>
    </row>
    <row r="3863" spans="1:4" x14ac:dyDescent="0.25">
      <c r="A3863" t="s">
        <v>480</v>
      </c>
      <c r="B3863" t="s">
        <v>120</v>
      </c>
      <c r="C3863" s="2">
        <f>HYPERLINK("https://svao.dolgi.msk.ru/account/1761775518/", 1761775518)</f>
        <v>1761775518</v>
      </c>
      <c r="D3863">
        <v>836718.21</v>
      </c>
    </row>
    <row r="3864" spans="1:4" x14ac:dyDescent="0.25">
      <c r="A3864" t="s">
        <v>480</v>
      </c>
      <c r="B3864" t="s">
        <v>82</v>
      </c>
      <c r="C3864" s="2">
        <f>HYPERLINK("https://svao.dolgi.msk.ru/account/1761775526/", 1761775526)</f>
        <v>1761775526</v>
      </c>
      <c r="D3864">
        <v>20779.189999999999</v>
      </c>
    </row>
    <row r="3865" spans="1:4" x14ac:dyDescent="0.25">
      <c r="A3865" t="s">
        <v>480</v>
      </c>
      <c r="B3865" t="s">
        <v>83</v>
      </c>
      <c r="C3865" s="2">
        <f>HYPERLINK("https://svao.dolgi.msk.ru/account/1761775569/", 1761775569)</f>
        <v>1761775569</v>
      </c>
      <c r="D3865">
        <v>204</v>
      </c>
    </row>
    <row r="3866" spans="1:4" x14ac:dyDescent="0.25">
      <c r="A3866" t="s">
        <v>480</v>
      </c>
      <c r="B3866" t="s">
        <v>132</v>
      </c>
      <c r="C3866" s="2">
        <f>HYPERLINK("https://svao.dolgi.msk.ru/account/1761775585/", 1761775585)</f>
        <v>1761775585</v>
      </c>
      <c r="D3866">
        <v>4890.26</v>
      </c>
    </row>
    <row r="3867" spans="1:4" x14ac:dyDescent="0.25">
      <c r="A3867" t="s">
        <v>480</v>
      </c>
      <c r="B3867" t="s">
        <v>26</v>
      </c>
      <c r="C3867" s="2">
        <f>HYPERLINK("https://svao.dolgi.msk.ru/account/1761775614/", 1761775614)</f>
        <v>1761775614</v>
      </c>
      <c r="D3867">
        <v>2882.75</v>
      </c>
    </row>
    <row r="3868" spans="1:4" x14ac:dyDescent="0.25">
      <c r="A3868" t="s">
        <v>480</v>
      </c>
      <c r="B3868" t="s">
        <v>133</v>
      </c>
      <c r="C3868" s="2">
        <f>HYPERLINK("https://svao.dolgi.msk.ru/account/1761775649/", 1761775649)</f>
        <v>1761775649</v>
      </c>
      <c r="D3868">
        <v>4288.1000000000004</v>
      </c>
    </row>
    <row r="3869" spans="1:4" x14ac:dyDescent="0.25">
      <c r="A3869" t="s">
        <v>480</v>
      </c>
      <c r="B3869" t="s">
        <v>243</v>
      </c>
      <c r="C3869" s="2">
        <f>HYPERLINK("https://svao.dolgi.msk.ru/account/1761775761/", 1761775761)</f>
        <v>1761775761</v>
      </c>
      <c r="D3869">
        <v>9604.77</v>
      </c>
    </row>
    <row r="3870" spans="1:4" x14ac:dyDescent="0.25">
      <c r="A3870" t="s">
        <v>480</v>
      </c>
      <c r="B3870" t="s">
        <v>121</v>
      </c>
      <c r="C3870" s="2">
        <f>HYPERLINK("https://svao.dolgi.msk.ru/account/1761775825/", 1761775825)</f>
        <v>1761775825</v>
      </c>
      <c r="D3870">
        <v>26731.14</v>
      </c>
    </row>
    <row r="3871" spans="1:4" x14ac:dyDescent="0.25">
      <c r="A3871" t="s">
        <v>480</v>
      </c>
      <c r="B3871" t="s">
        <v>28</v>
      </c>
      <c r="C3871" s="2">
        <f>HYPERLINK("https://svao.dolgi.msk.ru/account/1761775884/", 1761775884)</f>
        <v>1761775884</v>
      </c>
      <c r="D3871">
        <v>24059.37</v>
      </c>
    </row>
    <row r="3872" spans="1:4" x14ac:dyDescent="0.25">
      <c r="A3872" t="s">
        <v>480</v>
      </c>
      <c r="B3872" t="s">
        <v>84</v>
      </c>
      <c r="C3872" s="2">
        <f>HYPERLINK("https://svao.dolgi.msk.ru/account/1761776043/", 1761776043)</f>
        <v>1761776043</v>
      </c>
      <c r="D3872">
        <v>4366</v>
      </c>
    </row>
    <row r="3873" spans="1:4" x14ac:dyDescent="0.25">
      <c r="A3873" t="s">
        <v>480</v>
      </c>
      <c r="B3873" t="s">
        <v>31</v>
      </c>
      <c r="C3873" s="2">
        <f>HYPERLINK("https://svao.dolgi.msk.ru/account/1761776051/", 1761776051)</f>
        <v>1761776051</v>
      </c>
      <c r="D3873">
        <v>9910.84</v>
      </c>
    </row>
    <row r="3874" spans="1:4" x14ac:dyDescent="0.25">
      <c r="A3874" t="s">
        <v>480</v>
      </c>
      <c r="B3874" t="s">
        <v>98</v>
      </c>
      <c r="C3874" s="2">
        <f>HYPERLINK("https://svao.dolgi.msk.ru/account/1761776094/", 1761776094)</f>
        <v>1761776094</v>
      </c>
      <c r="D3874">
        <v>294</v>
      </c>
    </row>
    <row r="3875" spans="1:4" x14ac:dyDescent="0.25">
      <c r="A3875" t="s">
        <v>480</v>
      </c>
      <c r="B3875" t="s">
        <v>32</v>
      </c>
      <c r="C3875" s="2">
        <f>HYPERLINK("https://svao.dolgi.msk.ru/account/1761776174/", 1761776174)</f>
        <v>1761776174</v>
      </c>
      <c r="D3875">
        <v>5863.23</v>
      </c>
    </row>
    <row r="3876" spans="1:4" x14ac:dyDescent="0.25">
      <c r="A3876" t="s">
        <v>480</v>
      </c>
      <c r="B3876" t="s">
        <v>34</v>
      </c>
      <c r="C3876" s="2">
        <f>HYPERLINK("https://svao.dolgi.msk.ru/account/1761776289/", 1761776289)</f>
        <v>1761776289</v>
      </c>
      <c r="D3876">
        <v>4902.49</v>
      </c>
    </row>
    <row r="3877" spans="1:4" x14ac:dyDescent="0.25">
      <c r="A3877" t="s">
        <v>480</v>
      </c>
      <c r="B3877" t="s">
        <v>35</v>
      </c>
      <c r="C3877" s="2">
        <f>HYPERLINK("https://svao.dolgi.msk.ru/account/1761776326/", 1761776326)</f>
        <v>1761776326</v>
      </c>
      <c r="D3877">
        <v>6788.37</v>
      </c>
    </row>
    <row r="3878" spans="1:4" x14ac:dyDescent="0.25">
      <c r="A3878" t="s">
        <v>480</v>
      </c>
      <c r="B3878" t="s">
        <v>135</v>
      </c>
      <c r="C3878" s="2">
        <f>HYPERLINK("https://svao.dolgi.msk.ru/account/1761776342/", 1761776342)</f>
        <v>1761776342</v>
      </c>
      <c r="D3878">
        <v>8288.86</v>
      </c>
    </row>
    <row r="3879" spans="1:4" x14ac:dyDescent="0.25">
      <c r="A3879" t="s">
        <v>480</v>
      </c>
      <c r="B3879" t="s">
        <v>333</v>
      </c>
      <c r="C3879" s="2">
        <f>HYPERLINK("https://svao.dolgi.msk.ru/account/1761776385/", 1761776385)</f>
        <v>1761776385</v>
      </c>
      <c r="D3879">
        <v>5823.5</v>
      </c>
    </row>
    <row r="3880" spans="1:4" x14ac:dyDescent="0.25">
      <c r="A3880" t="s">
        <v>480</v>
      </c>
      <c r="B3880" t="s">
        <v>38</v>
      </c>
      <c r="C3880" s="2">
        <f>HYPERLINK("https://svao.dolgi.msk.ru/account/1761776684/", 1761776684)</f>
        <v>1761776684</v>
      </c>
      <c r="D3880">
        <v>2240.31</v>
      </c>
    </row>
    <row r="3881" spans="1:4" x14ac:dyDescent="0.25">
      <c r="A3881" t="s">
        <v>480</v>
      </c>
      <c r="B3881" t="s">
        <v>246</v>
      </c>
      <c r="C3881" s="2">
        <f>HYPERLINK("https://svao.dolgi.msk.ru/account/1761776713/", 1761776713)</f>
        <v>1761776713</v>
      </c>
      <c r="D3881">
        <v>6402.05</v>
      </c>
    </row>
    <row r="3882" spans="1:4" x14ac:dyDescent="0.25">
      <c r="A3882" t="s">
        <v>480</v>
      </c>
      <c r="B3882" t="s">
        <v>140</v>
      </c>
      <c r="C3882" s="2">
        <f>HYPERLINK("https://svao.dolgi.msk.ru/account/1761776799/", 1761776799)</f>
        <v>1761776799</v>
      </c>
      <c r="D3882">
        <v>4867.46</v>
      </c>
    </row>
    <row r="3883" spans="1:4" x14ac:dyDescent="0.25">
      <c r="A3883" t="s">
        <v>480</v>
      </c>
      <c r="B3883" t="s">
        <v>142</v>
      </c>
      <c r="C3883" s="2">
        <f>HYPERLINK("https://svao.dolgi.msk.ru/account/1761776844/", 1761776844)</f>
        <v>1761776844</v>
      </c>
      <c r="D3883">
        <v>3116.85</v>
      </c>
    </row>
    <row r="3884" spans="1:4" x14ac:dyDescent="0.25">
      <c r="A3884" t="s">
        <v>480</v>
      </c>
      <c r="B3884" t="s">
        <v>305</v>
      </c>
      <c r="C3884" s="2">
        <f>HYPERLINK("https://svao.dolgi.msk.ru/account/1761776879/", 1761776879)</f>
        <v>1761776879</v>
      </c>
      <c r="D3884">
        <v>10803.38</v>
      </c>
    </row>
    <row r="3885" spans="1:4" x14ac:dyDescent="0.25">
      <c r="A3885" t="s">
        <v>480</v>
      </c>
      <c r="B3885" t="s">
        <v>143</v>
      </c>
      <c r="C3885" s="2">
        <f>HYPERLINK("https://svao.dolgi.msk.ru/account/1761776887/", 1761776887)</f>
        <v>1761776887</v>
      </c>
      <c r="D3885">
        <v>10170.540000000001</v>
      </c>
    </row>
    <row r="3886" spans="1:4" x14ac:dyDescent="0.25">
      <c r="A3886" t="s">
        <v>480</v>
      </c>
      <c r="B3886" t="s">
        <v>45</v>
      </c>
      <c r="C3886" s="2">
        <f>HYPERLINK("https://svao.dolgi.msk.ru/account/1761776895/", 1761776895)</f>
        <v>1761776895</v>
      </c>
      <c r="D3886">
        <v>2589.9</v>
      </c>
    </row>
    <row r="3887" spans="1:4" x14ac:dyDescent="0.25">
      <c r="A3887" t="s">
        <v>480</v>
      </c>
      <c r="B3887" t="s">
        <v>144</v>
      </c>
      <c r="C3887" s="2">
        <f>HYPERLINK("https://svao.dolgi.msk.ru/account/1761776908/", 1761776908)</f>
        <v>1761776908</v>
      </c>
      <c r="D3887">
        <v>6403.71</v>
      </c>
    </row>
    <row r="3888" spans="1:4" x14ac:dyDescent="0.25">
      <c r="A3888" t="s">
        <v>480</v>
      </c>
      <c r="B3888" t="s">
        <v>315</v>
      </c>
      <c r="C3888" s="2">
        <f>HYPERLINK("https://svao.dolgi.msk.ru/account/1761776916/", 1761776916)</f>
        <v>1761776916</v>
      </c>
      <c r="D3888">
        <v>4630.8599999999997</v>
      </c>
    </row>
    <row r="3889" spans="1:4" x14ac:dyDescent="0.25">
      <c r="A3889" t="s">
        <v>480</v>
      </c>
      <c r="B3889" t="s">
        <v>145</v>
      </c>
      <c r="C3889" s="2">
        <f>HYPERLINK("https://svao.dolgi.msk.ru/account/1761776967/", 1761776967)</f>
        <v>1761776967</v>
      </c>
      <c r="D3889">
        <v>6544.68</v>
      </c>
    </row>
    <row r="3890" spans="1:4" x14ac:dyDescent="0.25">
      <c r="A3890" t="s">
        <v>480</v>
      </c>
      <c r="B3890" t="s">
        <v>249</v>
      </c>
      <c r="C3890" s="2">
        <f>HYPERLINK("https://svao.dolgi.msk.ru/account/1761776975/", 1761776975)</f>
        <v>1761776975</v>
      </c>
      <c r="D3890">
        <v>10840.39</v>
      </c>
    </row>
    <row r="3891" spans="1:4" x14ac:dyDescent="0.25">
      <c r="A3891" t="s">
        <v>480</v>
      </c>
      <c r="B3891" t="s">
        <v>339</v>
      </c>
      <c r="C3891" s="2">
        <f>HYPERLINK("https://svao.dolgi.msk.ru/account/1761776983/", 1761776983)</f>
        <v>1761776983</v>
      </c>
      <c r="D3891">
        <v>4452.78</v>
      </c>
    </row>
    <row r="3892" spans="1:4" x14ac:dyDescent="0.25">
      <c r="A3892" t="s">
        <v>480</v>
      </c>
      <c r="B3892" t="s">
        <v>250</v>
      </c>
      <c r="C3892" s="2">
        <f>HYPERLINK("https://svao.dolgi.msk.ru/account/1761777003/", 1761777003)</f>
        <v>1761777003</v>
      </c>
      <c r="D3892">
        <v>9184.9699999999993</v>
      </c>
    </row>
    <row r="3893" spans="1:4" x14ac:dyDescent="0.25">
      <c r="A3893" t="s">
        <v>480</v>
      </c>
      <c r="B3893" t="s">
        <v>146</v>
      </c>
      <c r="C3893" s="2">
        <f>HYPERLINK("https://svao.dolgi.msk.ru/account/1761777038/", 1761777038)</f>
        <v>1761777038</v>
      </c>
      <c r="D3893">
        <v>6121.11</v>
      </c>
    </row>
    <row r="3894" spans="1:4" x14ac:dyDescent="0.25">
      <c r="A3894" t="s">
        <v>480</v>
      </c>
      <c r="B3894" t="s">
        <v>306</v>
      </c>
      <c r="C3894" s="2">
        <f>HYPERLINK("https://svao.dolgi.msk.ru/account/1761777177/", 1761777177)</f>
        <v>1761777177</v>
      </c>
      <c r="D3894">
        <v>106.8</v>
      </c>
    </row>
    <row r="3895" spans="1:4" x14ac:dyDescent="0.25">
      <c r="A3895" t="s">
        <v>480</v>
      </c>
      <c r="B3895" t="s">
        <v>52</v>
      </c>
      <c r="C3895" s="2">
        <f>HYPERLINK("https://svao.dolgi.msk.ru/account/1761777222/", 1761777222)</f>
        <v>1761777222</v>
      </c>
      <c r="D3895">
        <v>3418.92</v>
      </c>
    </row>
    <row r="3896" spans="1:4" x14ac:dyDescent="0.25">
      <c r="A3896" t="s">
        <v>480</v>
      </c>
      <c r="B3896" t="s">
        <v>148</v>
      </c>
      <c r="C3896" s="2">
        <f>HYPERLINK("https://svao.dolgi.msk.ru/account/1761777257/", 1761777257)</f>
        <v>1761777257</v>
      </c>
      <c r="D3896">
        <v>8260.2999999999993</v>
      </c>
    </row>
    <row r="3897" spans="1:4" x14ac:dyDescent="0.25">
      <c r="A3897" t="s">
        <v>480</v>
      </c>
      <c r="B3897" t="s">
        <v>295</v>
      </c>
      <c r="C3897" s="2">
        <f>HYPERLINK("https://svao.dolgi.msk.ru/account/1761777265/", 1761777265)</f>
        <v>1761777265</v>
      </c>
      <c r="D3897">
        <v>12083.42</v>
      </c>
    </row>
    <row r="3898" spans="1:4" x14ac:dyDescent="0.25">
      <c r="A3898" t="s">
        <v>480</v>
      </c>
      <c r="B3898" t="s">
        <v>149</v>
      </c>
      <c r="C3898" s="2">
        <f>HYPERLINK("https://svao.dolgi.msk.ru/account/1761777273/", 1761777273)</f>
        <v>1761777273</v>
      </c>
      <c r="D3898">
        <v>6079.12</v>
      </c>
    </row>
    <row r="3899" spans="1:4" x14ac:dyDescent="0.25">
      <c r="A3899" t="s">
        <v>480</v>
      </c>
      <c r="B3899" t="s">
        <v>307</v>
      </c>
      <c r="C3899" s="2">
        <f>HYPERLINK("https://svao.dolgi.msk.ru/account/1761777281/", 1761777281)</f>
        <v>1761777281</v>
      </c>
      <c r="D3899">
        <v>5623.66</v>
      </c>
    </row>
    <row r="3900" spans="1:4" x14ac:dyDescent="0.25">
      <c r="A3900" t="s">
        <v>480</v>
      </c>
      <c r="B3900" t="s">
        <v>150</v>
      </c>
      <c r="C3900" s="2">
        <f>HYPERLINK("https://svao.dolgi.msk.ru/account/1761777302/", 1761777302)</f>
        <v>1761777302</v>
      </c>
      <c r="D3900">
        <v>20529.87</v>
      </c>
    </row>
    <row r="3901" spans="1:4" x14ac:dyDescent="0.25">
      <c r="A3901" t="s">
        <v>480</v>
      </c>
      <c r="B3901" t="s">
        <v>151</v>
      </c>
      <c r="C3901" s="2">
        <f>HYPERLINK("https://svao.dolgi.msk.ru/account/1761777329/", 1761777329)</f>
        <v>1761777329</v>
      </c>
      <c r="D3901">
        <v>2404.98</v>
      </c>
    </row>
    <row r="3902" spans="1:4" x14ac:dyDescent="0.25">
      <c r="A3902" t="s">
        <v>480</v>
      </c>
      <c r="B3902" t="s">
        <v>296</v>
      </c>
      <c r="C3902" s="2">
        <f>HYPERLINK("https://svao.dolgi.msk.ru/account/1761777337/", 1761777337)</f>
        <v>1761777337</v>
      </c>
      <c r="D3902">
        <v>5739.93</v>
      </c>
    </row>
    <row r="3903" spans="1:4" x14ac:dyDescent="0.25">
      <c r="A3903" t="s">
        <v>480</v>
      </c>
      <c r="B3903" t="s">
        <v>152</v>
      </c>
      <c r="C3903" s="2">
        <f>HYPERLINK("https://svao.dolgi.msk.ru/account/1761777345/", 1761777345)</f>
        <v>1761777345</v>
      </c>
      <c r="D3903">
        <v>3454.27</v>
      </c>
    </row>
    <row r="3904" spans="1:4" x14ac:dyDescent="0.25">
      <c r="A3904" t="s">
        <v>480</v>
      </c>
      <c r="B3904" t="s">
        <v>53</v>
      </c>
      <c r="C3904" s="2">
        <f>HYPERLINK("https://svao.dolgi.msk.ru/account/1761777361/", 1761777361)</f>
        <v>1761777361</v>
      </c>
      <c r="D3904">
        <v>2220</v>
      </c>
    </row>
    <row r="3905" spans="1:4" x14ac:dyDescent="0.25">
      <c r="A3905" t="s">
        <v>480</v>
      </c>
      <c r="B3905" t="s">
        <v>428</v>
      </c>
      <c r="C3905" s="2">
        <f>HYPERLINK("https://svao.dolgi.msk.ru/account/1761777409/", 1761777409)</f>
        <v>1761777409</v>
      </c>
      <c r="D3905">
        <v>12122.32</v>
      </c>
    </row>
    <row r="3906" spans="1:4" x14ac:dyDescent="0.25">
      <c r="A3906" t="s">
        <v>480</v>
      </c>
      <c r="B3906" t="s">
        <v>255</v>
      </c>
      <c r="C3906" s="2">
        <f>HYPERLINK("https://svao.dolgi.msk.ru/account/1761777513/", 1761777513)</f>
        <v>1761777513</v>
      </c>
      <c r="D3906">
        <v>13699.65</v>
      </c>
    </row>
    <row r="3907" spans="1:4" x14ac:dyDescent="0.25">
      <c r="A3907" t="s">
        <v>480</v>
      </c>
      <c r="B3907" t="s">
        <v>335</v>
      </c>
      <c r="C3907" s="2">
        <f>HYPERLINK("https://svao.dolgi.msk.ru/account/1761777716/", 1761777716)</f>
        <v>1761777716</v>
      </c>
      <c r="D3907">
        <v>3979.76</v>
      </c>
    </row>
    <row r="3908" spans="1:4" x14ac:dyDescent="0.25">
      <c r="A3908" t="s">
        <v>480</v>
      </c>
      <c r="B3908" t="s">
        <v>155</v>
      </c>
      <c r="C3908" s="2">
        <f>HYPERLINK("https://svao.dolgi.msk.ru/account/1761777724/", 1761777724)</f>
        <v>1761777724</v>
      </c>
      <c r="D3908">
        <v>12212.25</v>
      </c>
    </row>
    <row r="3909" spans="1:4" x14ac:dyDescent="0.25">
      <c r="A3909" t="s">
        <v>481</v>
      </c>
      <c r="B3909" t="s">
        <v>101</v>
      </c>
      <c r="C3909" s="2">
        <f>HYPERLINK("https://svao.dolgi.msk.ru/account/1760011321/", 1760011321)</f>
        <v>1760011321</v>
      </c>
      <c r="D3909">
        <v>5975.96</v>
      </c>
    </row>
    <row r="3910" spans="1:4" x14ac:dyDescent="0.25">
      <c r="A3910" t="s">
        <v>481</v>
      </c>
      <c r="B3910" t="s">
        <v>102</v>
      </c>
      <c r="C3910" s="2">
        <f>HYPERLINK("https://svao.dolgi.msk.ru/account/1760011356/", 1760011356)</f>
        <v>1760011356</v>
      </c>
      <c r="D3910">
        <v>4593.91</v>
      </c>
    </row>
    <row r="3911" spans="1:4" x14ac:dyDescent="0.25">
      <c r="A3911" t="s">
        <v>481</v>
      </c>
      <c r="B3911" t="s">
        <v>104</v>
      </c>
      <c r="C3911" s="2">
        <f>HYPERLINK("https://svao.dolgi.msk.ru/account/1760011399/", 1760011399)</f>
        <v>1760011399</v>
      </c>
      <c r="D3911">
        <v>2213.23</v>
      </c>
    </row>
    <row r="3912" spans="1:4" x14ac:dyDescent="0.25">
      <c r="A3912" t="s">
        <v>481</v>
      </c>
      <c r="B3912" t="s">
        <v>8</v>
      </c>
      <c r="C3912" s="2">
        <f>HYPERLINK("https://svao.dolgi.msk.ru/account/1760011401/", 1760011401)</f>
        <v>1760011401</v>
      </c>
      <c r="D3912">
        <v>49808.77</v>
      </c>
    </row>
    <row r="3913" spans="1:4" x14ac:dyDescent="0.25">
      <c r="A3913" t="s">
        <v>481</v>
      </c>
      <c r="B3913" t="s">
        <v>74</v>
      </c>
      <c r="C3913" s="2">
        <f>HYPERLINK("https://svao.dolgi.msk.ru/account/1760011428/", 1760011428)</f>
        <v>1760011428</v>
      </c>
      <c r="D3913">
        <v>1732.82</v>
      </c>
    </row>
    <row r="3914" spans="1:4" x14ac:dyDescent="0.25">
      <c r="A3914" t="s">
        <v>481</v>
      </c>
      <c r="B3914" t="s">
        <v>108</v>
      </c>
      <c r="C3914" s="2">
        <f>HYPERLINK("https://svao.dolgi.msk.ru/account/1760011583/", 1760011583)</f>
        <v>1760011583</v>
      </c>
      <c r="D3914">
        <v>2920.83</v>
      </c>
    </row>
    <row r="3915" spans="1:4" x14ac:dyDescent="0.25">
      <c r="A3915" t="s">
        <v>481</v>
      </c>
      <c r="B3915" t="s">
        <v>19</v>
      </c>
      <c r="C3915" s="2">
        <f>HYPERLINK("https://svao.dolgi.msk.ru/account/1760011639/", 1760011639)</f>
        <v>1760011639</v>
      </c>
      <c r="D3915">
        <v>937.41</v>
      </c>
    </row>
    <row r="3916" spans="1:4" x14ac:dyDescent="0.25">
      <c r="A3916" t="s">
        <v>481</v>
      </c>
      <c r="B3916" t="s">
        <v>112</v>
      </c>
      <c r="C3916" s="2">
        <f>HYPERLINK("https://svao.dolgi.msk.ru/account/1761790427/", 1761790427)</f>
        <v>1761790427</v>
      </c>
      <c r="D3916">
        <v>12750.15</v>
      </c>
    </row>
    <row r="3917" spans="1:4" x14ac:dyDescent="0.25">
      <c r="A3917" t="s">
        <v>481</v>
      </c>
      <c r="B3917" t="s">
        <v>77</v>
      </c>
      <c r="C3917" s="2">
        <f>HYPERLINK("https://svao.dolgi.msk.ru/account/1760011786/", 1760011786)</f>
        <v>1760011786</v>
      </c>
      <c r="D3917">
        <v>16611.7</v>
      </c>
    </row>
    <row r="3918" spans="1:4" x14ac:dyDescent="0.25">
      <c r="A3918" t="s">
        <v>481</v>
      </c>
      <c r="B3918" t="s">
        <v>124</v>
      </c>
      <c r="C3918" s="2">
        <f>HYPERLINK("https://svao.dolgi.msk.ru/account/1760011858/", 1760011858)</f>
        <v>1760011858</v>
      </c>
      <c r="D3918">
        <v>2008.53</v>
      </c>
    </row>
    <row r="3919" spans="1:4" x14ac:dyDescent="0.25">
      <c r="A3919" t="s">
        <v>481</v>
      </c>
      <c r="B3919" t="s">
        <v>115</v>
      </c>
      <c r="C3919" s="2">
        <f>HYPERLINK("https://svao.dolgi.msk.ru/account/1760011874/", 1760011874)</f>
        <v>1760011874</v>
      </c>
      <c r="D3919">
        <v>22345.51</v>
      </c>
    </row>
    <row r="3920" spans="1:4" x14ac:dyDescent="0.25">
      <c r="A3920" t="s">
        <v>481</v>
      </c>
      <c r="B3920" t="s">
        <v>131</v>
      </c>
      <c r="C3920" s="2">
        <f>HYPERLINK("https://svao.dolgi.msk.ru/account/1760011954/", 1760011954)</f>
        <v>1760011954</v>
      </c>
      <c r="D3920">
        <v>7598.93</v>
      </c>
    </row>
    <row r="3921" spans="1:4" x14ac:dyDescent="0.25">
      <c r="A3921" t="s">
        <v>481</v>
      </c>
      <c r="B3921" t="s">
        <v>127</v>
      </c>
      <c r="C3921" s="2">
        <f>HYPERLINK("https://svao.dolgi.msk.ru/account/1760012017/", 1760012017)</f>
        <v>1760012017</v>
      </c>
      <c r="D3921">
        <v>3223.18</v>
      </c>
    </row>
    <row r="3922" spans="1:4" x14ac:dyDescent="0.25">
      <c r="A3922" t="s">
        <v>481</v>
      </c>
      <c r="B3922" t="s">
        <v>81</v>
      </c>
      <c r="C3922" s="2">
        <f>HYPERLINK("https://svao.dolgi.msk.ru/account/1760012025/", 1760012025)</f>
        <v>1760012025</v>
      </c>
      <c r="D3922">
        <v>3356.26</v>
      </c>
    </row>
    <row r="3923" spans="1:4" x14ac:dyDescent="0.25">
      <c r="A3923" t="s">
        <v>481</v>
      </c>
      <c r="B3923" t="s">
        <v>120</v>
      </c>
      <c r="C3923" s="2">
        <f>HYPERLINK("https://svao.dolgi.msk.ru/account/1760012041/", 1760012041)</f>
        <v>1760012041</v>
      </c>
      <c r="D3923">
        <v>8651.14</v>
      </c>
    </row>
    <row r="3924" spans="1:4" x14ac:dyDescent="0.25">
      <c r="A3924" t="s">
        <v>481</v>
      </c>
      <c r="B3924" t="s">
        <v>25</v>
      </c>
      <c r="C3924" s="2">
        <f>HYPERLINK("https://svao.dolgi.msk.ru/account/1760012084/", 1760012084)</f>
        <v>1760012084</v>
      </c>
      <c r="D3924">
        <v>8452.39</v>
      </c>
    </row>
    <row r="3925" spans="1:4" x14ac:dyDescent="0.25">
      <c r="A3925" t="s">
        <v>482</v>
      </c>
      <c r="B3925" t="s">
        <v>6</v>
      </c>
      <c r="C3925" s="2">
        <f>HYPERLINK("https://svao.dolgi.msk.ru/account/1760015197/", 1760015197)</f>
        <v>1760015197</v>
      </c>
      <c r="D3925">
        <v>878</v>
      </c>
    </row>
    <row r="3926" spans="1:4" x14ac:dyDescent="0.25">
      <c r="A3926" t="s">
        <v>482</v>
      </c>
      <c r="B3926" t="s">
        <v>5</v>
      </c>
      <c r="C3926" s="2">
        <f>HYPERLINK("https://svao.dolgi.msk.ru/account/1760015226/", 1760015226)</f>
        <v>1760015226</v>
      </c>
      <c r="D3926">
        <v>4917.62</v>
      </c>
    </row>
    <row r="3927" spans="1:4" x14ac:dyDescent="0.25">
      <c r="A3927" t="s">
        <v>482</v>
      </c>
      <c r="B3927" t="s">
        <v>7</v>
      </c>
      <c r="C3927" s="2">
        <f>HYPERLINK("https://svao.dolgi.msk.ru/account/1760015234/", 1760015234)</f>
        <v>1760015234</v>
      </c>
      <c r="D3927">
        <v>2933.04</v>
      </c>
    </row>
    <row r="3928" spans="1:4" x14ac:dyDescent="0.25">
      <c r="A3928" t="s">
        <v>482</v>
      </c>
      <c r="B3928" t="s">
        <v>141</v>
      </c>
      <c r="C3928" s="2">
        <f>HYPERLINK("https://svao.dolgi.msk.ru/account/1760015269/", 1760015269)</f>
        <v>1760015269</v>
      </c>
      <c r="D3928">
        <v>79371.399999999994</v>
      </c>
    </row>
    <row r="3929" spans="1:4" x14ac:dyDescent="0.25">
      <c r="A3929" t="s">
        <v>482</v>
      </c>
      <c r="B3929" t="s">
        <v>102</v>
      </c>
      <c r="C3929" s="2">
        <f>HYPERLINK("https://svao.dolgi.msk.ru/account/1760015277/", 1760015277)</f>
        <v>1760015277</v>
      </c>
      <c r="D3929">
        <v>1024.3599999999999</v>
      </c>
    </row>
    <row r="3930" spans="1:4" x14ac:dyDescent="0.25">
      <c r="A3930" t="s">
        <v>482</v>
      </c>
      <c r="B3930" t="s">
        <v>103</v>
      </c>
      <c r="C3930" s="2">
        <f>HYPERLINK("https://svao.dolgi.msk.ru/account/1760015285/", 1760015285)</f>
        <v>1760015285</v>
      </c>
      <c r="D3930">
        <v>57287.73</v>
      </c>
    </row>
    <row r="3931" spans="1:4" x14ac:dyDescent="0.25">
      <c r="A3931" t="s">
        <v>482</v>
      </c>
      <c r="B3931" t="s">
        <v>73</v>
      </c>
      <c r="C3931" s="2">
        <f>HYPERLINK("https://svao.dolgi.msk.ru/account/1760015293/", 1760015293)</f>
        <v>1760015293</v>
      </c>
      <c r="D3931">
        <v>4345.8900000000003</v>
      </c>
    </row>
    <row r="3932" spans="1:4" x14ac:dyDescent="0.25">
      <c r="A3932" t="s">
        <v>482</v>
      </c>
      <c r="B3932" t="s">
        <v>75</v>
      </c>
      <c r="C3932" s="2">
        <f>HYPERLINK("https://svao.dolgi.msk.ru/account/1760015365/", 1760015365)</f>
        <v>1760015365</v>
      </c>
      <c r="D3932">
        <v>5892.86</v>
      </c>
    </row>
    <row r="3933" spans="1:4" x14ac:dyDescent="0.25">
      <c r="A3933" t="s">
        <v>482</v>
      </c>
      <c r="B3933" t="s">
        <v>12</v>
      </c>
      <c r="C3933" s="2">
        <f>HYPERLINK("https://svao.dolgi.msk.ru/account/1760015437/", 1760015437)</f>
        <v>1760015437</v>
      </c>
      <c r="D3933">
        <v>3468.29</v>
      </c>
    </row>
    <row r="3934" spans="1:4" x14ac:dyDescent="0.25">
      <c r="A3934" t="s">
        <v>482</v>
      </c>
      <c r="B3934" t="s">
        <v>76</v>
      </c>
      <c r="C3934" s="2">
        <f>HYPERLINK("https://svao.dolgi.msk.ru/account/1760015592/", 1760015592)</f>
        <v>1760015592</v>
      </c>
      <c r="D3934">
        <v>6407.74</v>
      </c>
    </row>
    <row r="3935" spans="1:4" x14ac:dyDescent="0.25">
      <c r="A3935" t="s">
        <v>482</v>
      </c>
      <c r="B3935" t="s">
        <v>94</v>
      </c>
      <c r="C3935" s="2">
        <f>HYPERLINK("https://svao.dolgi.msk.ru/account/1760015648/", 1760015648)</f>
        <v>1760015648</v>
      </c>
      <c r="D3935">
        <v>5967.01</v>
      </c>
    </row>
    <row r="3936" spans="1:4" x14ac:dyDescent="0.25">
      <c r="A3936" t="s">
        <v>482</v>
      </c>
      <c r="B3936" t="s">
        <v>23</v>
      </c>
      <c r="C3936" s="2">
        <f>HYPERLINK("https://svao.dolgi.msk.ru/account/1760015752/", 1760015752)</f>
        <v>1760015752</v>
      </c>
      <c r="D3936">
        <v>2460.8000000000002</v>
      </c>
    </row>
    <row r="3937" spans="1:4" x14ac:dyDescent="0.25">
      <c r="A3937" t="s">
        <v>482</v>
      </c>
      <c r="B3937" t="s">
        <v>117</v>
      </c>
      <c r="C3937" s="2">
        <f>HYPERLINK("https://svao.dolgi.msk.ru/account/1760015787/", 1760015787)</f>
        <v>1760015787</v>
      </c>
      <c r="D3937">
        <v>4863.8500000000004</v>
      </c>
    </row>
    <row r="3938" spans="1:4" x14ac:dyDescent="0.25">
      <c r="A3938" t="s">
        <v>482</v>
      </c>
      <c r="B3938" t="s">
        <v>81</v>
      </c>
      <c r="C3938" s="2">
        <f>HYPERLINK("https://svao.dolgi.msk.ru/account/1760015939/", 1760015939)</f>
        <v>1760015939</v>
      </c>
      <c r="D3938">
        <v>4198.99</v>
      </c>
    </row>
    <row r="3939" spans="1:4" x14ac:dyDescent="0.25">
      <c r="A3939" t="s">
        <v>483</v>
      </c>
      <c r="B3939" t="s">
        <v>7</v>
      </c>
      <c r="C3939" s="2">
        <f>HYPERLINK("https://svao.dolgi.msk.ru/account/1760016069/", 1760016069)</f>
        <v>1760016069</v>
      </c>
      <c r="D3939">
        <v>111838.77</v>
      </c>
    </row>
    <row r="3940" spans="1:4" x14ac:dyDescent="0.25">
      <c r="A3940" t="s">
        <v>483</v>
      </c>
      <c r="B3940" t="s">
        <v>141</v>
      </c>
      <c r="C3940" s="2">
        <f>HYPERLINK("https://svao.dolgi.msk.ru/account/1760016085/", 1760016085)</f>
        <v>1760016085</v>
      </c>
      <c r="D3940">
        <v>130.55000000000001</v>
      </c>
    </row>
    <row r="3941" spans="1:4" x14ac:dyDescent="0.25">
      <c r="A3941" t="s">
        <v>483</v>
      </c>
      <c r="B3941" t="s">
        <v>8</v>
      </c>
      <c r="C3941" s="2">
        <f>HYPERLINK("https://svao.dolgi.msk.ru/account/1760016149/", 1760016149)</f>
        <v>1760016149</v>
      </c>
      <c r="D3941">
        <v>4581.33</v>
      </c>
    </row>
    <row r="3942" spans="1:4" x14ac:dyDescent="0.25">
      <c r="A3942" t="s">
        <v>483</v>
      </c>
      <c r="B3942" t="s">
        <v>17</v>
      </c>
      <c r="C3942" s="2">
        <f>HYPERLINK("https://svao.dolgi.msk.ru/account/1760016341/", 1760016341)</f>
        <v>1760016341</v>
      </c>
      <c r="D3942">
        <v>4041.43</v>
      </c>
    </row>
    <row r="3943" spans="1:4" x14ac:dyDescent="0.25">
      <c r="A3943" t="s">
        <v>483</v>
      </c>
      <c r="B3943" t="s">
        <v>19</v>
      </c>
      <c r="C3943" s="2">
        <f>HYPERLINK("https://svao.dolgi.msk.ru/account/1760016376/", 1760016376)</f>
        <v>1760016376</v>
      </c>
      <c r="D3943">
        <v>4190.1899999999996</v>
      </c>
    </row>
    <row r="3944" spans="1:4" x14ac:dyDescent="0.25">
      <c r="A3944" t="s">
        <v>483</v>
      </c>
      <c r="B3944" t="s">
        <v>109</v>
      </c>
      <c r="C3944" s="2">
        <f>HYPERLINK("https://svao.dolgi.msk.ru/account/1760016384/", 1760016384)</f>
        <v>1760016384</v>
      </c>
      <c r="D3944">
        <v>58183.91</v>
      </c>
    </row>
    <row r="3945" spans="1:4" x14ac:dyDescent="0.25">
      <c r="A3945" t="s">
        <v>483</v>
      </c>
      <c r="B3945" t="s">
        <v>76</v>
      </c>
      <c r="C3945" s="2">
        <f>HYPERLINK("https://svao.dolgi.msk.ru/account/1760016413/", 1760016413)</f>
        <v>1760016413</v>
      </c>
      <c r="D3945">
        <v>5730.99</v>
      </c>
    </row>
    <row r="3946" spans="1:4" x14ac:dyDescent="0.25">
      <c r="A3946" t="s">
        <v>483</v>
      </c>
      <c r="B3946" t="s">
        <v>112</v>
      </c>
      <c r="C3946" s="2">
        <f>HYPERLINK("https://svao.dolgi.msk.ru/account/1760016472/", 1760016472)</f>
        <v>1760016472</v>
      </c>
      <c r="D3946">
        <v>5783.74</v>
      </c>
    </row>
    <row r="3947" spans="1:4" x14ac:dyDescent="0.25">
      <c r="A3947" t="s">
        <v>483</v>
      </c>
      <c r="B3947" t="s">
        <v>77</v>
      </c>
      <c r="C3947" s="2">
        <f>HYPERLINK("https://svao.dolgi.msk.ru/account/1760016528/", 1760016528)</f>
        <v>1760016528</v>
      </c>
      <c r="D3947">
        <v>4825.49</v>
      </c>
    </row>
    <row r="3948" spans="1:4" x14ac:dyDescent="0.25">
      <c r="A3948" t="s">
        <v>483</v>
      </c>
      <c r="B3948" t="s">
        <v>79</v>
      </c>
      <c r="C3948" s="2">
        <f>HYPERLINK("https://svao.dolgi.msk.ru/account/1760016579/", 1760016579)</f>
        <v>1760016579</v>
      </c>
      <c r="D3948">
        <v>155298.17000000001</v>
      </c>
    </row>
    <row r="3949" spans="1:4" x14ac:dyDescent="0.25">
      <c r="A3949" t="s">
        <v>483</v>
      </c>
      <c r="B3949" t="s">
        <v>320</v>
      </c>
      <c r="C3949" s="2">
        <f>HYPERLINK("https://svao.dolgi.msk.ru/account/1760016624/", 1760016624)</f>
        <v>1760016624</v>
      </c>
      <c r="D3949">
        <v>5155.76</v>
      </c>
    </row>
    <row r="3950" spans="1:4" x14ac:dyDescent="0.25">
      <c r="A3950" t="s">
        <v>483</v>
      </c>
      <c r="B3950" t="s">
        <v>24</v>
      </c>
      <c r="C3950" s="2">
        <f>HYPERLINK("https://svao.dolgi.msk.ru/account/1760016632/", 1760016632)</f>
        <v>1760016632</v>
      </c>
      <c r="D3950">
        <v>18415.099999999999</v>
      </c>
    </row>
    <row r="3951" spans="1:4" x14ac:dyDescent="0.25">
      <c r="A3951" t="s">
        <v>483</v>
      </c>
      <c r="B3951" t="s">
        <v>314</v>
      </c>
      <c r="C3951" s="2">
        <f>HYPERLINK("https://svao.dolgi.msk.ru/account/1760016659/", 1760016659)</f>
        <v>1760016659</v>
      </c>
      <c r="D3951">
        <v>4272.33</v>
      </c>
    </row>
    <row r="3952" spans="1:4" x14ac:dyDescent="0.25">
      <c r="A3952" t="s">
        <v>483</v>
      </c>
      <c r="B3952" t="s">
        <v>80</v>
      </c>
      <c r="C3952" s="2">
        <f>HYPERLINK("https://svao.dolgi.msk.ru/account/1760016712/", 1760016712)</f>
        <v>1760016712</v>
      </c>
      <c r="D3952">
        <v>3752.09</v>
      </c>
    </row>
    <row r="3953" spans="1:4" x14ac:dyDescent="0.25">
      <c r="A3953" t="s">
        <v>483</v>
      </c>
      <c r="B3953" t="s">
        <v>127</v>
      </c>
      <c r="C3953" s="2">
        <f>HYPERLINK("https://svao.dolgi.msk.ru/account/1760016747/", 1760016747)</f>
        <v>1760016747</v>
      </c>
      <c r="D3953">
        <v>2358.37</v>
      </c>
    </row>
    <row r="3954" spans="1:4" x14ac:dyDescent="0.25">
      <c r="A3954" t="s">
        <v>483</v>
      </c>
      <c r="B3954" t="s">
        <v>128</v>
      </c>
      <c r="C3954" s="2">
        <f>HYPERLINK("https://svao.dolgi.msk.ru/account/1760016819/", 1760016819)</f>
        <v>1760016819</v>
      </c>
      <c r="D3954">
        <v>52782.6</v>
      </c>
    </row>
    <row r="3955" spans="1:4" x14ac:dyDescent="0.25">
      <c r="A3955" t="s">
        <v>483</v>
      </c>
      <c r="B3955" t="s">
        <v>83</v>
      </c>
      <c r="C3955" s="2">
        <f>HYPERLINK("https://svao.dolgi.msk.ru/account/1760016835/", 1760016835)</f>
        <v>1760016835</v>
      </c>
      <c r="D3955">
        <v>24655.31</v>
      </c>
    </row>
    <row r="3956" spans="1:4" x14ac:dyDescent="0.25">
      <c r="A3956" t="s">
        <v>484</v>
      </c>
      <c r="B3956" t="s">
        <v>6</v>
      </c>
      <c r="C3956" s="2">
        <f>HYPERLINK("https://svao.dolgi.msk.ru/account/1760136335/", 1760136335)</f>
        <v>1760136335</v>
      </c>
      <c r="D3956">
        <v>134.68</v>
      </c>
    </row>
    <row r="3957" spans="1:4" x14ac:dyDescent="0.25">
      <c r="A3957" t="s">
        <v>484</v>
      </c>
      <c r="B3957" t="s">
        <v>7</v>
      </c>
      <c r="C3957" s="2">
        <f>HYPERLINK("https://svao.dolgi.msk.ru/account/1760136407/", 1760136407)</f>
        <v>1760136407</v>
      </c>
      <c r="D3957">
        <v>9509.14</v>
      </c>
    </row>
    <row r="3958" spans="1:4" x14ac:dyDescent="0.25">
      <c r="A3958" t="s">
        <v>484</v>
      </c>
      <c r="B3958" t="s">
        <v>101</v>
      </c>
      <c r="C3958" s="2">
        <f>HYPERLINK("https://svao.dolgi.msk.ru/account/1760136415/", 1760136415)</f>
        <v>1760136415</v>
      </c>
      <c r="D3958">
        <v>2148.0700000000002</v>
      </c>
    </row>
    <row r="3959" spans="1:4" x14ac:dyDescent="0.25">
      <c r="A3959" t="s">
        <v>484</v>
      </c>
      <c r="B3959" t="s">
        <v>102</v>
      </c>
      <c r="C3959" s="2">
        <f>HYPERLINK("https://svao.dolgi.msk.ru/account/1760136458/", 1760136458)</f>
        <v>1760136458</v>
      </c>
      <c r="D3959">
        <v>5566.54</v>
      </c>
    </row>
    <row r="3960" spans="1:4" x14ac:dyDescent="0.25">
      <c r="A3960" t="s">
        <v>484</v>
      </c>
      <c r="B3960" t="s">
        <v>73</v>
      </c>
      <c r="C3960" s="2">
        <f>HYPERLINK("https://svao.dolgi.msk.ru/account/1760136474/", 1760136474)</f>
        <v>1760136474</v>
      </c>
      <c r="D3960">
        <v>6118.38</v>
      </c>
    </row>
    <row r="3961" spans="1:4" x14ac:dyDescent="0.25">
      <c r="A3961" t="s">
        <v>484</v>
      </c>
      <c r="B3961" t="s">
        <v>8</v>
      </c>
      <c r="C3961" s="2">
        <f>HYPERLINK("https://svao.dolgi.msk.ru/account/1760136503/", 1760136503)</f>
        <v>1760136503</v>
      </c>
      <c r="D3961">
        <v>10018.06</v>
      </c>
    </row>
    <row r="3962" spans="1:4" x14ac:dyDescent="0.25">
      <c r="A3962" t="s">
        <v>484</v>
      </c>
      <c r="B3962" t="s">
        <v>75</v>
      </c>
      <c r="C3962" s="2">
        <f>HYPERLINK("https://svao.dolgi.msk.ru/account/1761817351/", 1761817351)</f>
        <v>1761817351</v>
      </c>
      <c r="D3962">
        <v>5880.26</v>
      </c>
    </row>
    <row r="3963" spans="1:4" x14ac:dyDescent="0.25">
      <c r="A3963" t="s">
        <v>484</v>
      </c>
      <c r="B3963" t="s">
        <v>12</v>
      </c>
      <c r="C3963" s="2">
        <f>HYPERLINK("https://svao.dolgi.msk.ru/account/1760136677/", 1760136677)</f>
        <v>1760136677</v>
      </c>
      <c r="D3963">
        <v>2786.7</v>
      </c>
    </row>
    <row r="3964" spans="1:4" x14ac:dyDescent="0.25">
      <c r="A3964" t="s">
        <v>484</v>
      </c>
      <c r="B3964" t="s">
        <v>13</v>
      </c>
      <c r="C3964" s="2">
        <f>HYPERLINK("https://svao.dolgi.msk.ru/account/1760136685/", 1760136685)</f>
        <v>1760136685</v>
      </c>
      <c r="D3964">
        <v>9560.8700000000008</v>
      </c>
    </row>
    <row r="3965" spans="1:4" x14ac:dyDescent="0.25">
      <c r="A3965" t="s">
        <v>484</v>
      </c>
      <c r="B3965" t="s">
        <v>14</v>
      </c>
      <c r="C3965" s="2">
        <f>HYPERLINK("https://svao.dolgi.msk.ru/account/1760136706/", 1760136706)</f>
        <v>1760136706</v>
      </c>
      <c r="D3965">
        <v>1535.64</v>
      </c>
    </row>
    <row r="3966" spans="1:4" x14ac:dyDescent="0.25">
      <c r="A3966" t="s">
        <v>484</v>
      </c>
      <c r="B3966" t="s">
        <v>16</v>
      </c>
      <c r="C3966" s="2">
        <f>HYPERLINK("https://svao.dolgi.msk.ru/account/1760136773/", 1760136773)</f>
        <v>1760136773</v>
      </c>
      <c r="D3966">
        <v>6733.48</v>
      </c>
    </row>
    <row r="3967" spans="1:4" x14ac:dyDescent="0.25">
      <c r="A3967" t="s">
        <v>484</v>
      </c>
      <c r="B3967" t="s">
        <v>76</v>
      </c>
      <c r="C3967" s="2">
        <f>HYPERLINK("https://svao.dolgi.msk.ru/account/1760136888/", 1760136888)</f>
        <v>1760136888</v>
      </c>
      <c r="D3967">
        <v>8027.23</v>
      </c>
    </row>
    <row r="3968" spans="1:4" x14ac:dyDescent="0.25">
      <c r="A3968" t="s">
        <v>484</v>
      </c>
      <c r="B3968" t="s">
        <v>111</v>
      </c>
      <c r="C3968" s="2">
        <f>HYPERLINK("https://svao.dolgi.msk.ru/account/1760136917/", 1760136917)</f>
        <v>1760136917</v>
      </c>
      <c r="D3968">
        <v>133.41999999999999</v>
      </c>
    </row>
    <row r="3969" spans="1:4" x14ac:dyDescent="0.25">
      <c r="A3969" t="s">
        <v>484</v>
      </c>
      <c r="B3969" t="s">
        <v>94</v>
      </c>
      <c r="C3969" s="2">
        <f>HYPERLINK("https://svao.dolgi.msk.ru/account/1760136925/", 1760136925)</f>
        <v>1760136925</v>
      </c>
      <c r="D3969">
        <v>8056.97</v>
      </c>
    </row>
    <row r="3970" spans="1:4" x14ac:dyDescent="0.25">
      <c r="A3970" t="s">
        <v>484</v>
      </c>
      <c r="B3970" t="s">
        <v>314</v>
      </c>
      <c r="C3970" s="2">
        <f>HYPERLINK("https://svao.dolgi.msk.ru/account/1760137135/", 1760137135)</f>
        <v>1760137135</v>
      </c>
      <c r="D3970">
        <v>19667.53</v>
      </c>
    </row>
    <row r="3971" spans="1:4" x14ac:dyDescent="0.25">
      <c r="A3971" t="s">
        <v>484</v>
      </c>
      <c r="B3971" t="s">
        <v>131</v>
      </c>
      <c r="C3971" s="2">
        <f>HYPERLINK("https://svao.dolgi.msk.ru/account/1760137186/", 1760137186)</f>
        <v>1760137186</v>
      </c>
      <c r="D3971">
        <v>7400.73</v>
      </c>
    </row>
    <row r="3972" spans="1:4" x14ac:dyDescent="0.25">
      <c r="A3972" t="s">
        <v>484</v>
      </c>
      <c r="B3972" t="s">
        <v>127</v>
      </c>
      <c r="C3972" s="2">
        <f>HYPERLINK("https://svao.dolgi.msk.ru/account/1760137258/", 1760137258)</f>
        <v>1760137258</v>
      </c>
      <c r="D3972">
        <v>136669.73000000001</v>
      </c>
    </row>
    <row r="3973" spans="1:4" x14ac:dyDescent="0.25">
      <c r="A3973" t="s">
        <v>484</v>
      </c>
      <c r="B3973" t="s">
        <v>119</v>
      </c>
      <c r="C3973" s="2">
        <f>HYPERLINK("https://svao.dolgi.msk.ru/account/1760137274/", 1760137274)</f>
        <v>1760137274</v>
      </c>
      <c r="D3973">
        <v>6842.34</v>
      </c>
    </row>
    <row r="3974" spans="1:4" x14ac:dyDescent="0.25">
      <c r="A3974" t="s">
        <v>484</v>
      </c>
      <c r="B3974" t="s">
        <v>82</v>
      </c>
      <c r="C3974" s="2">
        <f>HYPERLINK("https://svao.dolgi.msk.ru/account/1760137303/", 1760137303)</f>
        <v>1760137303</v>
      </c>
      <c r="D3974">
        <v>4419.3599999999997</v>
      </c>
    </row>
    <row r="3975" spans="1:4" x14ac:dyDescent="0.25">
      <c r="A3975" t="s">
        <v>484</v>
      </c>
      <c r="B3975" t="s">
        <v>128</v>
      </c>
      <c r="C3975" s="2">
        <f>HYPERLINK("https://svao.dolgi.msk.ru/account/1760137311/", 1760137311)</f>
        <v>1760137311</v>
      </c>
      <c r="D3975">
        <v>42283.79</v>
      </c>
    </row>
    <row r="3976" spans="1:4" x14ac:dyDescent="0.25">
      <c r="A3976" t="s">
        <v>484</v>
      </c>
      <c r="B3976" t="s">
        <v>83</v>
      </c>
      <c r="C3976" s="2">
        <f>HYPERLINK("https://svao.dolgi.msk.ru/account/1760137346/", 1760137346)</f>
        <v>1760137346</v>
      </c>
      <c r="D3976">
        <v>5783.25</v>
      </c>
    </row>
    <row r="3977" spans="1:4" x14ac:dyDescent="0.25">
      <c r="A3977" t="s">
        <v>484</v>
      </c>
      <c r="B3977" t="s">
        <v>26</v>
      </c>
      <c r="C3977" s="2">
        <f>HYPERLINK("https://svao.dolgi.msk.ru/account/1760137362/", 1760137362)</f>
        <v>1760137362</v>
      </c>
      <c r="D3977">
        <v>770.08</v>
      </c>
    </row>
    <row r="3978" spans="1:4" x14ac:dyDescent="0.25">
      <c r="A3978" t="s">
        <v>484</v>
      </c>
      <c r="B3978" t="s">
        <v>290</v>
      </c>
      <c r="C3978" s="2">
        <f>HYPERLINK("https://svao.dolgi.msk.ru/account/1760137426/", 1760137426)</f>
        <v>1760137426</v>
      </c>
      <c r="D3978">
        <v>6107.85</v>
      </c>
    </row>
    <row r="3979" spans="1:4" x14ac:dyDescent="0.25">
      <c r="A3979" t="s">
        <v>484</v>
      </c>
      <c r="B3979" t="s">
        <v>243</v>
      </c>
      <c r="C3979" s="2">
        <f>HYPERLINK("https://svao.dolgi.msk.ru/account/1760137434/", 1760137434)</f>
        <v>1760137434</v>
      </c>
      <c r="D3979">
        <v>27362.91</v>
      </c>
    </row>
    <row r="3980" spans="1:4" x14ac:dyDescent="0.25">
      <c r="A3980" t="s">
        <v>484</v>
      </c>
      <c r="B3980" t="s">
        <v>134</v>
      </c>
      <c r="C3980" s="2">
        <f>HYPERLINK("https://svao.dolgi.msk.ru/account/1760137469/", 1760137469)</f>
        <v>1760137469</v>
      </c>
      <c r="D3980">
        <v>1189.83</v>
      </c>
    </row>
    <row r="3981" spans="1:4" x14ac:dyDescent="0.25">
      <c r="A3981" t="s">
        <v>484</v>
      </c>
      <c r="B3981" t="s">
        <v>29</v>
      </c>
      <c r="C3981" s="2">
        <f>HYPERLINK("https://svao.dolgi.msk.ru/account/1760137493/", 1760137493)</f>
        <v>1760137493</v>
      </c>
      <c r="D3981">
        <v>5606.6</v>
      </c>
    </row>
    <row r="3982" spans="1:4" x14ac:dyDescent="0.25">
      <c r="A3982" t="s">
        <v>484</v>
      </c>
      <c r="B3982" t="s">
        <v>30</v>
      </c>
      <c r="C3982" s="2">
        <f>HYPERLINK("https://svao.dolgi.msk.ru/account/1760137549/", 1760137549)</f>
        <v>1760137549</v>
      </c>
      <c r="D3982">
        <v>6682.15</v>
      </c>
    </row>
    <row r="3983" spans="1:4" x14ac:dyDescent="0.25">
      <c r="A3983" t="s">
        <v>484</v>
      </c>
      <c r="B3983" t="s">
        <v>84</v>
      </c>
      <c r="C3983" s="2">
        <f>HYPERLINK("https://svao.dolgi.msk.ru/account/1760137565/", 1760137565)</f>
        <v>1760137565</v>
      </c>
      <c r="D3983">
        <v>5965.69</v>
      </c>
    </row>
    <row r="3984" spans="1:4" x14ac:dyDescent="0.25">
      <c r="A3984" t="s">
        <v>484</v>
      </c>
      <c r="B3984" t="s">
        <v>31</v>
      </c>
      <c r="C3984" s="2">
        <f>HYPERLINK("https://svao.dolgi.msk.ru/account/1760136351/", 1760136351)</f>
        <v>1760136351</v>
      </c>
      <c r="D3984">
        <v>9895.7199999999993</v>
      </c>
    </row>
    <row r="3985" spans="1:4" x14ac:dyDescent="0.25">
      <c r="A3985" t="s">
        <v>484</v>
      </c>
      <c r="B3985" t="s">
        <v>245</v>
      </c>
      <c r="C3985" s="2">
        <f>HYPERLINK("https://svao.dolgi.msk.ru/account/1760137602/", 1760137602)</f>
        <v>1760137602</v>
      </c>
      <c r="D3985">
        <v>43128.56</v>
      </c>
    </row>
    <row r="3986" spans="1:4" x14ac:dyDescent="0.25">
      <c r="A3986" t="s">
        <v>484</v>
      </c>
      <c r="B3986" t="s">
        <v>85</v>
      </c>
      <c r="C3986" s="2">
        <f>HYPERLINK("https://svao.dolgi.msk.ru/account/1760137653/", 1760137653)</f>
        <v>1760137653</v>
      </c>
      <c r="D3986">
        <v>6178.38</v>
      </c>
    </row>
    <row r="3987" spans="1:4" x14ac:dyDescent="0.25">
      <c r="A3987" t="s">
        <v>484</v>
      </c>
      <c r="B3987" t="s">
        <v>34</v>
      </c>
      <c r="C3987" s="2">
        <f>HYPERLINK("https://svao.dolgi.msk.ru/account/1760137688/", 1760137688)</f>
        <v>1760137688</v>
      </c>
      <c r="D3987">
        <v>7307.61</v>
      </c>
    </row>
    <row r="3988" spans="1:4" x14ac:dyDescent="0.25">
      <c r="A3988" t="s">
        <v>484</v>
      </c>
      <c r="B3988" t="s">
        <v>333</v>
      </c>
      <c r="C3988" s="2">
        <f>HYPERLINK("https://svao.dolgi.msk.ru/account/1760137741/", 1760137741)</f>
        <v>1760137741</v>
      </c>
      <c r="D3988">
        <v>16016.56</v>
      </c>
    </row>
    <row r="3989" spans="1:4" x14ac:dyDescent="0.25">
      <c r="A3989" t="s">
        <v>484</v>
      </c>
      <c r="B3989" t="s">
        <v>36</v>
      </c>
      <c r="C3989" s="2">
        <f>HYPERLINK("https://svao.dolgi.msk.ru/account/1760137776/", 1760137776)</f>
        <v>1760137776</v>
      </c>
      <c r="D3989">
        <v>6998.41</v>
      </c>
    </row>
    <row r="3990" spans="1:4" x14ac:dyDescent="0.25">
      <c r="A3990" t="s">
        <v>484</v>
      </c>
      <c r="B3990" t="s">
        <v>88</v>
      </c>
      <c r="C3990" s="2">
        <f>HYPERLINK("https://svao.dolgi.msk.ru/account/1760137784/", 1760137784)</f>
        <v>1760137784</v>
      </c>
      <c r="D3990">
        <v>4059.01</v>
      </c>
    </row>
    <row r="3991" spans="1:4" x14ac:dyDescent="0.25">
      <c r="A3991" t="s">
        <v>484</v>
      </c>
      <c r="B3991" t="s">
        <v>37</v>
      </c>
      <c r="C3991" s="2">
        <f>HYPERLINK("https://svao.dolgi.msk.ru/account/1760137813/", 1760137813)</f>
        <v>1760137813</v>
      </c>
      <c r="D3991">
        <v>530.35</v>
      </c>
    </row>
    <row r="3992" spans="1:4" x14ac:dyDescent="0.25">
      <c r="A3992" t="s">
        <v>484</v>
      </c>
      <c r="B3992" t="s">
        <v>38</v>
      </c>
      <c r="C3992" s="2">
        <f>HYPERLINK("https://svao.dolgi.msk.ru/account/1760137821/", 1760137821)</f>
        <v>1760137821</v>
      </c>
      <c r="D3992">
        <v>2517.0700000000002</v>
      </c>
    </row>
    <row r="3993" spans="1:4" x14ac:dyDescent="0.25">
      <c r="A3993" t="s">
        <v>484</v>
      </c>
      <c r="B3993" t="s">
        <v>246</v>
      </c>
      <c r="C3993" s="2">
        <f>HYPERLINK("https://svao.dolgi.msk.ru/account/1760137848/", 1760137848)</f>
        <v>1760137848</v>
      </c>
      <c r="D3993">
        <v>17084.12</v>
      </c>
    </row>
    <row r="3994" spans="1:4" x14ac:dyDescent="0.25">
      <c r="A3994" t="s">
        <v>484</v>
      </c>
      <c r="B3994" t="s">
        <v>140</v>
      </c>
      <c r="C3994" s="2">
        <f>HYPERLINK("https://svao.dolgi.msk.ru/account/1760137899/", 1760137899)</f>
        <v>1760137899</v>
      </c>
      <c r="D3994">
        <v>6135.11</v>
      </c>
    </row>
    <row r="3995" spans="1:4" x14ac:dyDescent="0.25">
      <c r="A3995" t="s">
        <v>484</v>
      </c>
      <c r="B3995" t="s">
        <v>48</v>
      </c>
      <c r="C3995" s="2">
        <f>HYPERLINK("https://svao.dolgi.msk.ru/account/1760138154/", 1760138154)</f>
        <v>1760138154</v>
      </c>
      <c r="D3995">
        <v>11535.59</v>
      </c>
    </row>
    <row r="3996" spans="1:4" x14ac:dyDescent="0.25">
      <c r="A3996" t="s">
        <v>484</v>
      </c>
      <c r="B3996" t="s">
        <v>50</v>
      </c>
      <c r="C3996" s="2">
        <f>HYPERLINK("https://svao.dolgi.msk.ru/account/1760138242/", 1760138242)</f>
        <v>1760138242</v>
      </c>
      <c r="D3996">
        <v>9644.2199999999993</v>
      </c>
    </row>
    <row r="3997" spans="1:4" x14ac:dyDescent="0.25">
      <c r="A3997" t="s">
        <v>484</v>
      </c>
      <c r="B3997" t="s">
        <v>316</v>
      </c>
      <c r="C3997" s="2">
        <f>HYPERLINK("https://svao.dolgi.msk.ru/account/1760138306/", 1760138306)</f>
        <v>1760138306</v>
      </c>
      <c r="D3997">
        <v>274.18</v>
      </c>
    </row>
    <row r="3998" spans="1:4" x14ac:dyDescent="0.25">
      <c r="A3998" t="s">
        <v>484</v>
      </c>
      <c r="B3998" t="s">
        <v>148</v>
      </c>
      <c r="C3998" s="2">
        <f>HYPERLINK("https://svao.dolgi.msk.ru/account/1760138314/", 1760138314)</f>
        <v>1760138314</v>
      </c>
      <c r="D3998">
        <v>7726.59</v>
      </c>
    </row>
    <row r="3999" spans="1:4" x14ac:dyDescent="0.25">
      <c r="A3999" t="s">
        <v>484</v>
      </c>
      <c r="B3999" t="s">
        <v>295</v>
      </c>
      <c r="C3999" s="2">
        <f>HYPERLINK("https://svao.dolgi.msk.ru/account/1760138322/", 1760138322)</f>
        <v>1760138322</v>
      </c>
      <c r="D3999">
        <v>5996.95</v>
      </c>
    </row>
    <row r="4000" spans="1:4" x14ac:dyDescent="0.25">
      <c r="A4000" t="s">
        <v>484</v>
      </c>
      <c r="B4000" t="s">
        <v>152</v>
      </c>
      <c r="C4000" s="2">
        <f>HYPERLINK("https://svao.dolgi.msk.ru/account/1760138453/", 1760138453)</f>
        <v>1760138453</v>
      </c>
      <c r="D4000">
        <v>5285.23</v>
      </c>
    </row>
    <row r="4001" spans="1:4" x14ac:dyDescent="0.25">
      <c r="A4001" t="s">
        <v>484</v>
      </c>
      <c r="B4001" t="s">
        <v>317</v>
      </c>
      <c r="C4001" s="2">
        <f>HYPERLINK("https://svao.dolgi.msk.ru/account/1760138461/", 1760138461)</f>
        <v>1760138461</v>
      </c>
      <c r="D4001">
        <v>3585.92</v>
      </c>
    </row>
    <row r="4002" spans="1:4" x14ac:dyDescent="0.25">
      <c r="A4002" t="s">
        <v>484</v>
      </c>
      <c r="B4002" t="s">
        <v>54</v>
      </c>
      <c r="C4002" s="2">
        <f>HYPERLINK("https://svao.dolgi.msk.ru/account/1760138509/", 1760138509)</f>
        <v>1760138509</v>
      </c>
      <c r="D4002">
        <v>6425.09</v>
      </c>
    </row>
    <row r="4003" spans="1:4" x14ac:dyDescent="0.25">
      <c r="A4003" t="s">
        <v>484</v>
      </c>
      <c r="B4003" t="s">
        <v>309</v>
      </c>
      <c r="C4003" s="2">
        <f>HYPERLINK("https://svao.dolgi.msk.ru/account/1760138568/", 1760138568)</f>
        <v>1760138568</v>
      </c>
      <c r="D4003">
        <v>7102.05</v>
      </c>
    </row>
    <row r="4004" spans="1:4" x14ac:dyDescent="0.25">
      <c r="A4004" t="s">
        <v>484</v>
      </c>
      <c r="B4004" t="s">
        <v>327</v>
      </c>
      <c r="C4004" s="2">
        <f>HYPERLINK("https://svao.dolgi.msk.ru/account/1760138656/", 1760138656)</f>
        <v>1760138656</v>
      </c>
      <c r="D4004">
        <v>9799.17</v>
      </c>
    </row>
    <row r="4005" spans="1:4" x14ac:dyDescent="0.25">
      <c r="A4005" t="s">
        <v>484</v>
      </c>
      <c r="B4005" t="s">
        <v>155</v>
      </c>
      <c r="C4005" s="2">
        <f>HYPERLINK("https://svao.dolgi.msk.ru/account/1760138736/", 1760138736)</f>
        <v>1760138736</v>
      </c>
      <c r="D4005">
        <v>8338.19</v>
      </c>
    </row>
    <row r="4006" spans="1:4" x14ac:dyDescent="0.25">
      <c r="A4006" t="s">
        <v>484</v>
      </c>
      <c r="B4006" t="s">
        <v>340</v>
      </c>
      <c r="C4006" s="2">
        <f>HYPERLINK("https://svao.dolgi.msk.ru/account/1760138787/", 1760138787)</f>
        <v>1760138787</v>
      </c>
      <c r="D4006">
        <v>4507.49</v>
      </c>
    </row>
    <row r="4007" spans="1:4" x14ac:dyDescent="0.25">
      <c r="A4007" t="s">
        <v>484</v>
      </c>
      <c r="B4007" t="s">
        <v>377</v>
      </c>
      <c r="C4007" s="2">
        <f>HYPERLINK("https://svao.dolgi.msk.ru/account/1760138808/", 1760138808)</f>
        <v>1760138808</v>
      </c>
      <c r="D4007">
        <v>98336.3</v>
      </c>
    </row>
    <row r="4008" spans="1:4" x14ac:dyDescent="0.25">
      <c r="A4008" t="s">
        <v>484</v>
      </c>
      <c r="B4008" t="s">
        <v>57</v>
      </c>
      <c r="C4008" s="2">
        <f>HYPERLINK("https://svao.dolgi.msk.ru/account/1760138816/", 1760138816)</f>
        <v>1760138816</v>
      </c>
      <c r="D4008">
        <v>3588.3</v>
      </c>
    </row>
    <row r="4009" spans="1:4" x14ac:dyDescent="0.25">
      <c r="A4009" t="s">
        <v>484</v>
      </c>
      <c r="B4009" t="s">
        <v>336</v>
      </c>
      <c r="C4009" s="2">
        <f>HYPERLINK("https://svao.dolgi.msk.ru/account/1760138883/", 1760138883)</f>
        <v>1760138883</v>
      </c>
      <c r="D4009">
        <v>8271.5300000000007</v>
      </c>
    </row>
    <row r="4010" spans="1:4" x14ac:dyDescent="0.25">
      <c r="A4010" t="s">
        <v>484</v>
      </c>
      <c r="B4010" t="s">
        <v>60</v>
      </c>
      <c r="C4010" s="2">
        <f>HYPERLINK("https://svao.dolgi.msk.ru/account/1760138891/", 1760138891)</f>
        <v>1760138891</v>
      </c>
      <c r="D4010">
        <v>12881.01</v>
      </c>
    </row>
    <row r="4011" spans="1:4" x14ac:dyDescent="0.25">
      <c r="A4011" t="s">
        <v>484</v>
      </c>
      <c r="B4011" t="s">
        <v>378</v>
      </c>
      <c r="C4011" s="2">
        <f>HYPERLINK("https://svao.dolgi.msk.ru/account/1760138912/", 1760138912)</f>
        <v>1760138912</v>
      </c>
      <c r="D4011">
        <v>4657.3999999999996</v>
      </c>
    </row>
    <row r="4012" spans="1:4" x14ac:dyDescent="0.25">
      <c r="A4012" t="s">
        <v>484</v>
      </c>
      <c r="B4012" t="s">
        <v>343</v>
      </c>
      <c r="C4012" s="2">
        <f>HYPERLINK("https://svao.dolgi.msk.ru/account/1760138947/", 1760138947)</f>
        <v>1760138947</v>
      </c>
      <c r="D4012">
        <v>36134.230000000003</v>
      </c>
    </row>
    <row r="4013" spans="1:4" x14ac:dyDescent="0.25">
      <c r="A4013" t="s">
        <v>484</v>
      </c>
      <c r="B4013" t="s">
        <v>61</v>
      </c>
      <c r="C4013" s="2">
        <f>HYPERLINK("https://svao.dolgi.msk.ru/account/1760138963/", 1760138963)</f>
        <v>1760138963</v>
      </c>
      <c r="D4013">
        <v>5053.53</v>
      </c>
    </row>
    <row r="4014" spans="1:4" x14ac:dyDescent="0.25">
      <c r="A4014" t="s">
        <v>484</v>
      </c>
      <c r="B4014" t="s">
        <v>345</v>
      </c>
      <c r="C4014" s="2">
        <f>HYPERLINK("https://svao.dolgi.msk.ru/account/1760139077/", 1760139077)</f>
        <v>1760139077</v>
      </c>
      <c r="D4014">
        <v>5970.21</v>
      </c>
    </row>
    <row r="4015" spans="1:4" x14ac:dyDescent="0.25">
      <c r="A4015" t="s">
        <v>484</v>
      </c>
      <c r="B4015" t="s">
        <v>64</v>
      </c>
      <c r="C4015" s="2">
        <f>HYPERLINK("https://svao.dolgi.msk.ru/account/1760139085/", 1760139085)</f>
        <v>1760139085</v>
      </c>
      <c r="D4015">
        <v>7222.03</v>
      </c>
    </row>
    <row r="4016" spans="1:4" x14ac:dyDescent="0.25">
      <c r="A4016" t="s">
        <v>484</v>
      </c>
      <c r="B4016" t="s">
        <v>69</v>
      </c>
      <c r="C4016" s="2">
        <f>HYPERLINK("https://svao.dolgi.msk.ru/account/1760139296/", 1760139296)</f>
        <v>1760139296</v>
      </c>
      <c r="D4016">
        <v>10338.02</v>
      </c>
    </row>
    <row r="4017" spans="1:4" x14ac:dyDescent="0.25">
      <c r="A4017" t="s">
        <v>484</v>
      </c>
      <c r="B4017" t="s">
        <v>435</v>
      </c>
      <c r="C4017" s="2">
        <f>HYPERLINK("https://svao.dolgi.msk.ru/account/1760139325/", 1760139325)</f>
        <v>1760139325</v>
      </c>
      <c r="D4017">
        <v>7178.68</v>
      </c>
    </row>
    <row r="4018" spans="1:4" x14ac:dyDescent="0.25">
      <c r="A4018" t="s">
        <v>484</v>
      </c>
      <c r="B4018" t="s">
        <v>416</v>
      </c>
      <c r="C4018" s="2">
        <f>HYPERLINK("https://svao.dolgi.msk.ru/account/1760139333/", 1760139333)</f>
        <v>1760139333</v>
      </c>
      <c r="D4018">
        <v>9961.7999999999993</v>
      </c>
    </row>
    <row r="4019" spans="1:4" x14ac:dyDescent="0.25">
      <c r="A4019" t="s">
        <v>484</v>
      </c>
      <c r="B4019" t="s">
        <v>262</v>
      </c>
      <c r="C4019" s="2">
        <f>HYPERLINK("https://svao.dolgi.msk.ru/account/1760139384/", 1760139384)</f>
        <v>1760139384</v>
      </c>
      <c r="D4019">
        <v>8964.81</v>
      </c>
    </row>
    <row r="4020" spans="1:4" x14ac:dyDescent="0.25">
      <c r="A4020" t="s">
        <v>484</v>
      </c>
      <c r="B4020" t="s">
        <v>166</v>
      </c>
      <c r="C4020" s="2">
        <f>HYPERLINK("https://svao.dolgi.msk.ru/account/1760139413/", 1760139413)</f>
        <v>1760139413</v>
      </c>
      <c r="D4020">
        <v>8593.02</v>
      </c>
    </row>
    <row r="4021" spans="1:4" x14ac:dyDescent="0.25">
      <c r="A4021" t="s">
        <v>484</v>
      </c>
      <c r="B4021" t="s">
        <v>417</v>
      </c>
      <c r="C4021" s="2">
        <f>HYPERLINK("https://svao.dolgi.msk.ru/account/1760139448/", 1760139448)</f>
        <v>1760139448</v>
      </c>
      <c r="D4021">
        <v>6831.65</v>
      </c>
    </row>
    <row r="4022" spans="1:4" x14ac:dyDescent="0.25">
      <c r="A4022" t="s">
        <v>484</v>
      </c>
      <c r="B4022" t="s">
        <v>454</v>
      </c>
      <c r="C4022" s="2">
        <f>HYPERLINK("https://svao.dolgi.msk.ru/account/1760139456/", 1760139456)</f>
        <v>1760139456</v>
      </c>
      <c r="D4022">
        <v>15694.45</v>
      </c>
    </row>
    <row r="4023" spans="1:4" x14ac:dyDescent="0.25">
      <c r="A4023" t="s">
        <v>484</v>
      </c>
      <c r="B4023" t="s">
        <v>348</v>
      </c>
      <c r="C4023" s="2">
        <f>HYPERLINK("https://svao.dolgi.msk.ru/account/1760139528/", 1760139528)</f>
        <v>1760139528</v>
      </c>
      <c r="D4023">
        <v>3704.4</v>
      </c>
    </row>
    <row r="4024" spans="1:4" x14ac:dyDescent="0.25">
      <c r="A4024" t="s">
        <v>484</v>
      </c>
      <c r="B4024" t="s">
        <v>264</v>
      </c>
      <c r="C4024" s="2">
        <f>HYPERLINK("https://svao.dolgi.msk.ru/account/1760139552/", 1760139552)</f>
        <v>1760139552</v>
      </c>
      <c r="D4024">
        <v>59146.99</v>
      </c>
    </row>
    <row r="4025" spans="1:4" x14ac:dyDescent="0.25">
      <c r="A4025" t="s">
        <v>484</v>
      </c>
      <c r="B4025" t="s">
        <v>485</v>
      </c>
      <c r="C4025" s="2">
        <f>HYPERLINK("https://svao.dolgi.msk.ru/account/1760139579/", 1760139579)</f>
        <v>1760139579</v>
      </c>
      <c r="D4025">
        <v>5807.99</v>
      </c>
    </row>
    <row r="4026" spans="1:4" x14ac:dyDescent="0.25">
      <c r="A4026" t="s">
        <v>484</v>
      </c>
      <c r="B4026" t="s">
        <v>171</v>
      </c>
      <c r="C4026" s="2">
        <f>HYPERLINK("https://svao.dolgi.msk.ru/account/1760139587/", 1760139587)</f>
        <v>1760139587</v>
      </c>
      <c r="D4026">
        <v>10397.27</v>
      </c>
    </row>
    <row r="4027" spans="1:4" x14ac:dyDescent="0.25">
      <c r="A4027" t="s">
        <v>484</v>
      </c>
      <c r="B4027" t="s">
        <v>266</v>
      </c>
      <c r="C4027" s="2">
        <f>HYPERLINK("https://svao.dolgi.msk.ru/account/1760139659/", 1760139659)</f>
        <v>1760139659</v>
      </c>
      <c r="D4027">
        <v>7181.78</v>
      </c>
    </row>
    <row r="4028" spans="1:4" x14ac:dyDescent="0.25">
      <c r="A4028" t="s">
        <v>484</v>
      </c>
      <c r="B4028" t="s">
        <v>486</v>
      </c>
      <c r="C4028" s="2">
        <f>HYPERLINK("https://svao.dolgi.msk.ru/account/1760139763/", 1760139763)</f>
        <v>1760139763</v>
      </c>
      <c r="D4028">
        <v>4942.0200000000004</v>
      </c>
    </row>
    <row r="4029" spans="1:4" x14ac:dyDescent="0.25">
      <c r="A4029" t="s">
        <v>484</v>
      </c>
      <c r="B4029" t="s">
        <v>177</v>
      </c>
      <c r="C4029" s="2">
        <f>HYPERLINK("https://svao.dolgi.msk.ru/account/1760139886/", 1760139886)</f>
        <v>1760139886</v>
      </c>
      <c r="D4029">
        <v>7424.29</v>
      </c>
    </row>
    <row r="4030" spans="1:4" x14ac:dyDescent="0.25">
      <c r="A4030" t="s">
        <v>484</v>
      </c>
      <c r="B4030" t="s">
        <v>487</v>
      </c>
      <c r="C4030" s="2">
        <f>HYPERLINK("https://svao.dolgi.msk.ru/account/1760139907/", 1760139907)</f>
        <v>1760139907</v>
      </c>
      <c r="D4030">
        <v>5298.71</v>
      </c>
    </row>
    <row r="4031" spans="1:4" x14ac:dyDescent="0.25">
      <c r="A4031" t="s">
        <v>484</v>
      </c>
      <c r="B4031" t="s">
        <v>488</v>
      </c>
      <c r="C4031" s="2">
        <f>HYPERLINK("https://svao.dolgi.msk.ru/account/1760140051/", 1760140051)</f>
        <v>1760140051</v>
      </c>
      <c r="D4031">
        <v>20211.62</v>
      </c>
    </row>
    <row r="4032" spans="1:4" x14ac:dyDescent="0.25">
      <c r="A4032" t="s">
        <v>484</v>
      </c>
      <c r="B4032" t="s">
        <v>274</v>
      </c>
      <c r="C4032" s="2">
        <f>HYPERLINK("https://svao.dolgi.msk.ru/account/1760140086/", 1760140086)</f>
        <v>1760140086</v>
      </c>
      <c r="D4032">
        <v>4794.17</v>
      </c>
    </row>
    <row r="4033" spans="1:4" x14ac:dyDescent="0.25">
      <c r="A4033" t="s">
        <v>484</v>
      </c>
      <c r="B4033" t="s">
        <v>437</v>
      </c>
      <c r="C4033" s="2">
        <f>HYPERLINK("https://svao.dolgi.msk.ru/account/1760140123/", 1760140123)</f>
        <v>1760140123</v>
      </c>
      <c r="D4033">
        <v>5413.07</v>
      </c>
    </row>
    <row r="4034" spans="1:4" x14ac:dyDescent="0.25">
      <c r="A4034" t="s">
        <v>484</v>
      </c>
      <c r="B4034" t="s">
        <v>275</v>
      </c>
      <c r="C4034" s="2">
        <f>HYPERLINK("https://svao.dolgi.msk.ru/account/1760140158/", 1760140158)</f>
        <v>1760140158</v>
      </c>
      <c r="D4034">
        <v>5317.25</v>
      </c>
    </row>
    <row r="4035" spans="1:4" x14ac:dyDescent="0.25">
      <c r="A4035" t="s">
        <v>484</v>
      </c>
      <c r="B4035" t="s">
        <v>278</v>
      </c>
      <c r="C4035" s="2">
        <f>HYPERLINK("https://svao.dolgi.msk.ru/account/1760140289/", 1760140289)</f>
        <v>1760140289</v>
      </c>
      <c r="D4035">
        <v>27586.92</v>
      </c>
    </row>
    <row r="4036" spans="1:4" x14ac:dyDescent="0.25">
      <c r="A4036" t="s">
        <v>484</v>
      </c>
      <c r="B4036" t="s">
        <v>186</v>
      </c>
      <c r="C4036" s="2">
        <f>HYPERLINK("https://svao.dolgi.msk.ru/account/1760140342/", 1760140342)</f>
        <v>1760140342</v>
      </c>
      <c r="D4036">
        <v>12431.03</v>
      </c>
    </row>
    <row r="4037" spans="1:4" x14ac:dyDescent="0.25">
      <c r="A4037" t="s">
        <v>484</v>
      </c>
      <c r="B4037" t="s">
        <v>191</v>
      </c>
      <c r="C4037" s="2">
        <f>HYPERLINK("https://svao.dolgi.msk.ru/account/1760140537/", 1760140537)</f>
        <v>1760140537</v>
      </c>
      <c r="D4037">
        <v>5655.38</v>
      </c>
    </row>
    <row r="4038" spans="1:4" x14ac:dyDescent="0.25">
      <c r="A4038" t="s">
        <v>484</v>
      </c>
      <c r="B4038" t="s">
        <v>192</v>
      </c>
      <c r="C4038" s="2">
        <f>HYPERLINK("https://svao.dolgi.msk.ru/account/1760140545/", 1760140545)</f>
        <v>1760140545</v>
      </c>
      <c r="D4038">
        <v>5576.69</v>
      </c>
    </row>
    <row r="4039" spans="1:4" x14ac:dyDescent="0.25">
      <c r="A4039" t="s">
        <v>484</v>
      </c>
      <c r="B4039" t="s">
        <v>489</v>
      </c>
      <c r="C4039" s="2">
        <f>HYPERLINK("https://svao.dolgi.msk.ru/account/1760140553/", 1760140553)</f>
        <v>1760140553</v>
      </c>
      <c r="D4039">
        <v>15131.65</v>
      </c>
    </row>
    <row r="4040" spans="1:4" x14ac:dyDescent="0.25">
      <c r="A4040" t="s">
        <v>484</v>
      </c>
      <c r="B4040" t="s">
        <v>490</v>
      </c>
      <c r="C4040" s="2">
        <f>HYPERLINK("https://svao.dolgi.msk.ru/account/1760140588/", 1760140588)</f>
        <v>1760140588</v>
      </c>
      <c r="D4040">
        <v>4740.1000000000004</v>
      </c>
    </row>
    <row r="4041" spans="1:4" x14ac:dyDescent="0.25">
      <c r="A4041" t="s">
        <v>484</v>
      </c>
      <c r="B4041" t="s">
        <v>281</v>
      </c>
      <c r="C4041" s="2">
        <f>HYPERLINK("https://svao.dolgi.msk.ru/account/1760140596/", 1760140596)</f>
        <v>1760140596</v>
      </c>
      <c r="D4041">
        <v>10415.040000000001</v>
      </c>
    </row>
    <row r="4042" spans="1:4" x14ac:dyDescent="0.25">
      <c r="A4042" t="s">
        <v>484</v>
      </c>
      <c r="B4042" t="s">
        <v>194</v>
      </c>
      <c r="C4042" s="2">
        <f>HYPERLINK("https://svao.dolgi.msk.ru/account/1760140633/", 1760140633)</f>
        <v>1760140633</v>
      </c>
      <c r="D4042">
        <v>3134.44</v>
      </c>
    </row>
    <row r="4043" spans="1:4" x14ac:dyDescent="0.25">
      <c r="A4043" t="s">
        <v>484</v>
      </c>
      <c r="B4043" t="s">
        <v>209</v>
      </c>
      <c r="C4043" s="2">
        <f>HYPERLINK("https://svao.dolgi.msk.ru/account/1760141118/", 1760141118)</f>
        <v>1760141118</v>
      </c>
      <c r="D4043">
        <v>8222.5</v>
      </c>
    </row>
    <row r="4044" spans="1:4" x14ac:dyDescent="0.25">
      <c r="A4044" t="s">
        <v>484</v>
      </c>
      <c r="B4044" t="s">
        <v>491</v>
      </c>
      <c r="C4044" s="2">
        <f>HYPERLINK("https://svao.dolgi.msk.ru/account/1760141169/", 1760141169)</f>
        <v>1760141169</v>
      </c>
      <c r="D4044">
        <v>4277.53</v>
      </c>
    </row>
    <row r="4045" spans="1:4" x14ac:dyDescent="0.25">
      <c r="A4045" t="s">
        <v>484</v>
      </c>
      <c r="B4045" t="s">
        <v>492</v>
      </c>
      <c r="C4045" s="2">
        <f>HYPERLINK("https://svao.dolgi.msk.ru/account/1760141193/", 1760141193)</f>
        <v>1760141193</v>
      </c>
      <c r="D4045">
        <v>101018.84</v>
      </c>
    </row>
    <row r="4046" spans="1:4" x14ac:dyDescent="0.25">
      <c r="A4046" t="s">
        <v>484</v>
      </c>
      <c r="B4046" t="s">
        <v>210</v>
      </c>
      <c r="C4046" s="2">
        <f>HYPERLINK("https://svao.dolgi.msk.ru/account/1760270796/", 1760270796)</f>
        <v>1760270796</v>
      </c>
      <c r="D4046">
        <v>120.49</v>
      </c>
    </row>
    <row r="4047" spans="1:4" x14ac:dyDescent="0.25">
      <c r="A4047" t="s">
        <v>484</v>
      </c>
      <c r="B4047" t="s">
        <v>493</v>
      </c>
      <c r="C4047" s="2">
        <f>HYPERLINK("https://svao.dolgi.msk.ru/account/1760141214/", 1760141214)</f>
        <v>1760141214</v>
      </c>
      <c r="D4047">
        <v>2477.15</v>
      </c>
    </row>
    <row r="4048" spans="1:4" x14ac:dyDescent="0.25">
      <c r="A4048" t="s">
        <v>484</v>
      </c>
      <c r="B4048" t="s">
        <v>494</v>
      </c>
      <c r="C4048" s="2">
        <f>HYPERLINK("https://svao.dolgi.msk.ru/account/1760141249/", 1760141249)</f>
        <v>1760141249</v>
      </c>
      <c r="D4048">
        <v>51551.06</v>
      </c>
    </row>
    <row r="4049" spans="1:4" x14ac:dyDescent="0.25">
      <c r="A4049" t="s">
        <v>484</v>
      </c>
      <c r="B4049" t="s">
        <v>495</v>
      </c>
      <c r="C4049" s="2">
        <f>HYPERLINK("https://svao.dolgi.msk.ru/account/1760141281/", 1760141281)</f>
        <v>1760141281</v>
      </c>
      <c r="D4049">
        <v>1581.22</v>
      </c>
    </row>
    <row r="4050" spans="1:4" x14ac:dyDescent="0.25">
      <c r="A4050" t="s">
        <v>484</v>
      </c>
      <c r="B4050" t="s">
        <v>496</v>
      </c>
      <c r="C4050" s="2">
        <f>HYPERLINK("https://svao.dolgi.msk.ru/account/1760141345/", 1760141345)</f>
        <v>1760141345</v>
      </c>
      <c r="D4050">
        <v>4067.87</v>
      </c>
    </row>
    <row r="4051" spans="1:4" x14ac:dyDescent="0.25">
      <c r="A4051" t="s">
        <v>484</v>
      </c>
      <c r="B4051" t="s">
        <v>497</v>
      </c>
      <c r="C4051" s="2">
        <f>HYPERLINK("https://svao.dolgi.msk.ru/account/1760141433/", 1760141433)</f>
        <v>1760141433</v>
      </c>
      <c r="D4051">
        <v>7847.04</v>
      </c>
    </row>
    <row r="4052" spans="1:4" x14ac:dyDescent="0.25">
      <c r="A4052" t="s">
        <v>484</v>
      </c>
      <c r="B4052" t="s">
        <v>215</v>
      </c>
      <c r="C4052" s="2">
        <f>HYPERLINK("https://svao.dolgi.msk.ru/account/1760141468/", 1760141468)</f>
        <v>1760141468</v>
      </c>
      <c r="D4052">
        <v>373.38</v>
      </c>
    </row>
    <row r="4053" spans="1:4" x14ac:dyDescent="0.25">
      <c r="A4053" t="s">
        <v>484</v>
      </c>
      <c r="B4053" t="s">
        <v>217</v>
      </c>
      <c r="C4053" s="2">
        <f>HYPERLINK("https://svao.dolgi.msk.ru/account/1760141564/", 1760141564)</f>
        <v>1760141564</v>
      </c>
      <c r="D4053">
        <v>5169.28</v>
      </c>
    </row>
    <row r="4054" spans="1:4" x14ac:dyDescent="0.25">
      <c r="A4054" t="s">
        <v>484</v>
      </c>
      <c r="B4054" t="s">
        <v>498</v>
      </c>
      <c r="C4054" s="2">
        <f>HYPERLINK("https://svao.dolgi.msk.ru/account/1760141599/", 1760141599)</f>
        <v>1760141599</v>
      </c>
      <c r="D4054">
        <v>8749.56</v>
      </c>
    </row>
    <row r="4055" spans="1:4" x14ac:dyDescent="0.25">
      <c r="A4055" t="s">
        <v>484</v>
      </c>
      <c r="B4055" t="s">
        <v>499</v>
      </c>
      <c r="C4055" s="2">
        <f>HYPERLINK("https://svao.dolgi.msk.ru/account/1760141687/", 1760141687)</f>
        <v>1760141687</v>
      </c>
      <c r="D4055">
        <v>8690.98</v>
      </c>
    </row>
    <row r="4056" spans="1:4" x14ac:dyDescent="0.25">
      <c r="A4056" t="s">
        <v>484</v>
      </c>
      <c r="B4056" t="s">
        <v>222</v>
      </c>
      <c r="C4056" s="2">
        <f>HYPERLINK("https://svao.dolgi.msk.ru/account/1760141708/", 1760141708)</f>
        <v>1760141708</v>
      </c>
      <c r="D4056">
        <v>5716.75</v>
      </c>
    </row>
    <row r="4057" spans="1:4" x14ac:dyDescent="0.25">
      <c r="A4057" t="s">
        <v>484</v>
      </c>
      <c r="B4057" t="s">
        <v>500</v>
      </c>
      <c r="C4057" s="2">
        <f>HYPERLINK("https://svao.dolgi.msk.ru/account/1760141804/", 1760141804)</f>
        <v>1760141804</v>
      </c>
      <c r="D4057">
        <v>289273.88</v>
      </c>
    </row>
    <row r="4058" spans="1:4" x14ac:dyDescent="0.25">
      <c r="A4058" t="s">
        <v>484</v>
      </c>
      <c r="B4058" t="s">
        <v>501</v>
      </c>
      <c r="C4058" s="2">
        <f>HYPERLINK("https://svao.dolgi.msk.ru/account/1760141855/", 1760141855)</f>
        <v>1760141855</v>
      </c>
      <c r="D4058">
        <v>8749.51</v>
      </c>
    </row>
    <row r="4059" spans="1:4" x14ac:dyDescent="0.25">
      <c r="A4059" t="s">
        <v>484</v>
      </c>
      <c r="B4059" t="s">
        <v>502</v>
      </c>
      <c r="C4059" s="2">
        <f>HYPERLINK("https://svao.dolgi.msk.ru/account/1760141863/", 1760141863)</f>
        <v>1760141863</v>
      </c>
      <c r="D4059">
        <v>15066.69</v>
      </c>
    </row>
    <row r="4060" spans="1:4" x14ac:dyDescent="0.25">
      <c r="A4060" t="s">
        <v>484</v>
      </c>
      <c r="B4060" t="s">
        <v>225</v>
      </c>
      <c r="C4060" s="2">
        <f>HYPERLINK("https://svao.dolgi.msk.ru/account/1760141871/", 1760141871)</f>
        <v>1760141871</v>
      </c>
      <c r="D4060">
        <v>1596.15</v>
      </c>
    </row>
    <row r="4061" spans="1:4" x14ac:dyDescent="0.25">
      <c r="A4061" t="s">
        <v>503</v>
      </c>
      <c r="B4061" t="s">
        <v>5</v>
      </c>
      <c r="C4061" s="2">
        <f>HYPERLINK("https://svao.dolgi.msk.ru/account/1760150882/", 1760150882)</f>
        <v>1760150882</v>
      </c>
      <c r="D4061">
        <v>4486.26</v>
      </c>
    </row>
    <row r="4062" spans="1:4" x14ac:dyDescent="0.25">
      <c r="A4062" t="s">
        <v>503</v>
      </c>
      <c r="B4062" t="s">
        <v>73</v>
      </c>
      <c r="C4062" s="2">
        <f>HYPERLINK("https://svao.dolgi.msk.ru/account/1760150962/", 1760150962)</f>
        <v>1760150962</v>
      </c>
      <c r="D4062">
        <v>10926.97</v>
      </c>
    </row>
    <row r="4063" spans="1:4" x14ac:dyDescent="0.25">
      <c r="A4063" t="s">
        <v>503</v>
      </c>
      <c r="B4063" t="s">
        <v>104</v>
      </c>
      <c r="C4063" s="2">
        <f>HYPERLINK("https://svao.dolgi.msk.ru/account/1760150989/", 1760150989)</f>
        <v>1760150989</v>
      </c>
      <c r="D4063">
        <v>5158.75</v>
      </c>
    </row>
    <row r="4064" spans="1:4" x14ac:dyDescent="0.25">
      <c r="A4064" t="s">
        <v>503</v>
      </c>
      <c r="B4064" t="s">
        <v>137</v>
      </c>
      <c r="C4064" s="2">
        <f>HYPERLINK("https://svao.dolgi.msk.ru/account/1760151017/", 1760151017)</f>
        <v>1760151017</v>
      </c>
      <c r="D4064">
        <v>1754.41</v>
      </c>
    </row>
    <row r="4065" spans="1:4" x14ac:dyDescent="0.25">
      <c r="A4065" t="s">
        <v>503</v>
      </c>
      <c r="B4065" t="s">
        <v>9</v>
      </c>
      <c r="C4065" s="2">
        <f>HYPERLINK("https://svao.dolgi.msk.ru/account/1760151025/", 1760151025)</f>
        <v>1760151025</v>
      </c>
      <c r="D4065">
        <v>6931.15</v>
      </c>
    </row>
    <row r="4066" spans="1:4" x14ac:dyDescent="0.25">
      <c r="A4066" t="s">
        <v>503</v>
      </c>
      <c r="B4066" t="s">
        <v>11</v>
      </c>
      <c r="C4066" s="2">
        <f>HYPERLINK("https://svao.dolgi.msk.ru/account/1760151084/", 1760151084)</f>
        <v>1760151084</v>
      </c>
      <c r="D4066">
        <v>3294.49</v>
      </c>
    </row>
    <row r="4067" spans="1:4" x14ac:dyDescent="0.25">
      <c r="A4067" t="s">
        <v>503</v>
      </c>
      <c r="B4067" t="s">
        <v>15</v>
      </c>
      <c r="C4067" s="2">
        <f>HYPERLINK("https://svao.dolgi.msk.ru/account/1760151156/", 1760151156)</f>
        <v>1760151156</v>
      </c>
      <c r="D4067">
        <v>66810.899999999994</v>
      </c>
    </row>
    <row r="4068" spans="1:4" x14ac:dyDescent="0.25">
      <c r="A4068" t="s">
        <v>503</v>
      </c>
      <c r="B4068" t="s">
        <v>108</v>
      </c>
      <c r="C4068" s="2">
        <f>HYPERLINK("https://svao.dolgi.msk.ru/account/1760151164/", 1760151164)</f>
        <v>1760151164</v>
      </c>
      <c r="D4068">
        <v>2614.52</v>
      </c>
    </row>
    <row r="4069" spans="1:4" x14ac:dyDescent="0.25">
      <c r="A4069" t="s">
        <v>503</v>
      </c>
      <c r="B4069" t="s">
        <v>16</v>
      </c>
      <c r="C4069" s="2">
        <f>HYPERLINK("https://svao.dolgi.msk.ru/account/1760151172/", 1760151172)</f>
        <v>1760151172</v>
      </c>
      <c r="D4069">
        <v>1050.6600000000001</v>
      </c>
    </row>
    <row r="4070" spans="1:4" x14ac:dyDescent="0.25">
      <c r="A4070" t="s">
        <v>503</v>
      </c>
      <c r="B4070" t="s">
        <v>17</v>
      </c>
      <c r="C4070" s="2">
        <f>HYPERLINK("https://svao.dolgi.msk.ru/account/1760151199/", 1760151199)</f>
        <v>1760151199</v>
      </c>
      <c r="D4070">
        <v>5977.65</v>
      </c>
    </row>
    <row r="4071" spans="1:4" x14ac:dyDescent="0.25">
      <c r="A4071" t="s">
        <v>503</v>
      </c>
      <c r="B4071" t="s">
        <v>109</v>
      </c>
      <c r="C4071" s="2">
        <f>HYPERLINK("https://svao.dolgi.msk.ru/account/1760151236/", 1760151236)</f>
        <v>1760151236</v>
      </c>
      <c r="D4071">
        <v>6663.32</v>
      </c>
    </row>
    <row r="4072" spans="1:4" x14ac:dyDescent="0.25">
      <c r="A4072" t="s">
        <v>503</v>
      </c>
      <c r="B4072" t="s">
        <v>76</v>
      </c>
      <c r="C4072" s="2">
        <f>HYPERLINK("https://svao.dolgi.msk.ru/account/1760151279/", 1760151279)</f>
        <v>1760151279</v>
      </c>
      <c r="D4072">
        <v>4605.41</v>
      </c>
    </row>
    <row r="4073" spans="1:4" x14ac:dyDescent="0.25">
      <c r="A4073" t="s">
        <v>503</v>
      </c>
      <c r="B4073" t="s">
        <v>112</v>
      </c>
      <c r="C4073" s="2">
        <f>HYPERLINK("https://svao.dolgi.msk.ru/account/1760151324/", 1760151324)</f>
        <v>1760151324</v>
      </c>
      <c r="D4073">
        <v>12042.3</v>
      </c>
    </row>
    <row r="4074" spans="1:4" x14ac:dyDescent="0.25">
      <c r="A4074" t="s">
        <v>503</v>
      </c>
      <c r="B4074" t="s">
        <v>113</v>
      </c>
      <c r="C4074" s="2">
        <f>HYPERLINK("https://svao.dolgi.msk.ru/account/1760151332/", 1760151332)</f>
        <v>1760151332</v>
      </c>
      <c r="D4074">
        <v>34788.25</v>
      </c>
    </row>
    <row r="4075" spans="1:4" x14ac:dyDescent="0.25">
      <c r="A4075" t="s">
        <v>503</v>
      </c>
      <c r="B4075" t="s">
        <v>77</v>
      </c>
      <c r="C4075" s="2">
        <f>HYPERLINK("https://svao.dolgi.msk.ru/account/1760151367/", 1760151367)</f>
        <v>1760151367</v>
      </c>
      <c r="D4075">
        <v>5395.89</v>
      </c>
    </row>
    <row r="4076" spans="1:4" x14ac:dyDescent="0.25">
      <c r="A4076" t="s">
        <v>503</v>
      </c>
      <c r="B4076" t="s">
        <v>78</v>
      </c>
      <c r="C4076" s="2">
        <f>HYPERLINK("https://svao.dolgi.msk.ru/account/1760151383/", 1760151383)</f>
        <v>1760151383</v>
      </c>
      <c r="D4076">
        <v>3729.51</v>
      </c>
    </row>
    <row r="4077" spans="1:4" x14ac:dyDescent="0.25">
      <c r="A4077" t="s">
        <v>503</v>
      </c>
      <c r="B4077" t="s">
        <v>79</v>
      </c>
      <c r="C4077" s="2">
        <f>HYPERLINK("https://svao.dolgi.msk.ru/account/1760151404/", 1760151404)</f>
        <v>1760151404</v>
      </c>
      <c r="D4077">
        <v>101.73</v>
      </c>
    </row>
    <row r="4078" spans="1:4" x14ac:dyDescent="0.25">
      <c r="A4078" t="s">
        <v>503</v>
      </c>
      <c r="B4078" t="s">
        <v>23</v>
      </c>
      <c r="C4078" s="2">
        <f>HYPERLINK("https://svao.dolgi.msk.ru/account/1760151412/", 1760151412)</f>
        <v>1760151412</v>
      </c>
      <c r="D4078">
        <v>38553.919999999998</v>
      </c>
    </row>
    <row r="4079" spans="1:4" x14ac:dyDescent="0.25">
      <c r="A4079" t="s">
        <v>503</v>
      </c>
      <c r="B4079" t="s">
        <v>320</v>
      </c>
      <c r="C4079" s="2">
        <f>HYPERLINK("https://svao.dolgi.msk.ru/account/1760151463/", 1760151463)</f>
        <v>1760151463</v>
      </c>
      <c r="D4079">
        <v>17182.669999999998</v>
      </c>
    </row>
    <row r="4080" spans="1:4" x14ac:dyDescent="0.25">
      <c r="A4080" t="s">
        <v>503</v>
      </c>
      <c r="B4080" t="s">
        <v>125</v>
      </c>
      <c r="C4080" s="2">
        <f>HYPERLINK("https://svao.dolgi.msk.ru/account/1760151543/", 1760151543)</f>
        <v>1760151543</v>
      </c>
      <c r="D4080">
        <v>4758.3900000000003</v>
      </c>
    </row>
    <row r="4081" spans="1:4" x14ac:dyDescent="0.25">
      <c r="A4081" t="s">
        <v>503</v>
      </c>
      <c r="B4081" t="s">
        <v>81</v>
      </c>
      <c r="C4081" s="2">
        <f>HYPERLINK("https://svao.dolgi.msk.ru/account/1760151607/", 1760151607)</f>
        <v>1760151607</v>
      </c>
      <c r="D4081">
        <v>3275.4</v>
      </c>
    </row>
    <row r="4082" spans="1:4" x14ac:dyDescent="0.25">
      <c r="A4082" t="s">
        <v>503</v>
      </c>
      <c r="B4082" t="s">
        <v>290</v>
      </c>
      <c r="C4082" s="2">
        <f>HYPERLINK("https://svao.dolgi.msk.ru/account/1760151754/", 1760151754)</f>
        <v>1760151754</v>
      </c>
      <c r="D4082">
        <v>4238.74</v>
      </c>
    </row>
    <row r="4083" spans="1:4" x14ac:dyDescent="0.25">
      <c r="A4083" t="s">
        <v>503</v>
      </c>
      <c r="B4083" t="s">
        <v>139</v>
      </c>
      <c r="C4083" s="2">
        <f>HYPERLINK("https://svao.dolgi.msk.ru/account/1760151818/", 1760151818)</f>
        <v>1760151818</v>
      </c>
      <c r="D4083">
        <v>5539.67</v>
      </c>
    </row>
    <row r="4084" spans="1:4" x14ac:dyDescent="0.25">
      <c r="A4084" t="s">
        <v>503</v>
      </c>
      <c r="B4084" t="s">
        <v>33</v>
      </c>
      <c r="C4084" s="2">
        <f>HYPERLINK("https://svao.dolgi.msk.ru/account/1760151973/", 1760151973)</f>
        <v>1760151973</v>
      </c>
      <c r="D4084">
        <v>1713.69</v>
      </c>
    </row>
    <row r="4085" spans="1:4" x14ac:dyDescent="0.25">
      <c r="A4085" t="s">
        <v>503</v>
      </c>
      <c r="B4085" t="s">
        <v>34</v>
      </c>
      <c r="C4085" s="2">
        <f>HYPERLINK("https://svao.dolgi.msk.ru/account/1760151981/", 1760151981)</f>
        <v>1760151981</v>
      </c>
      <c r="D4085">
        <v>5531.74</v>
      </c>
    </row>
    <row r="4086" spans="1:4" x14ac:dyDescent="0.25">
      <c r="A4086" t="s">
        <v>503</v>
      </c>
      <c r="B4086" t="s">
        <v>333</v>
      </c>
      <c r="C4086" s="2">
        <f>HYPERLINK("https://svao.dolgi.msk.ru/account/1760152052/", 1760152052)</f>
        <v>1760152052</v>
      </c>
      <c r="D4086">
        <v>19141.47</v>
      </c>
    </row>
    <row r="4087" spans="1:4" x14ac:dyDescent="0.25">
      <c r="A4087" t="s">
        <v>503</v>
      </c>
      <c r="B4087" t="s">
        <v>88</v>
      </c>
      <c r="C4087" s="2">
        <f>HYPERLINK("https://svao.dolgi.msk.ru/account/1760152095/", 1760152095)</f>
        <v>1760152095</v>
      </c>
      <c r="D4087">
        <v>5032.17</v>
      </c>
    </row>
    <row r="4088" spans="1:4" x14ac:dyDescent="0.25">
      <c r="A4088" t="s">
        <v>503</v>
      </c>
      <c r="B4088" t="s">
        <v>304</v>
      </c>
      <c r="C4088" s="2">
        <f>HYPERLINK("https://svao.dolgi.msk.ru/account/1760152116/", 1760152116)</f>
        <v>1760152116</v>
      </c>
      <c r="D4088">
        <v>2754.2</v>
      </c>
    </row>
    <row r="4089" spans="1:4" x14ac:dyDescent="0.25">
      <c r="A4089" t="s">
        <v>503</v>
      </c>
      <c r="B4089" t="s">
        <v>43</v>
      </c>
      <c r="C4089" s="2">
        <f>HYPERLINK("https://svao.dolgi.msk.ru/account/1760152175/", 1760152175)</f>
        <v>1760152175</v>
      </c>
      <c r="D4089">
        <v>3412.06</v>
      </c>
    </row>
    <row r="4090" spans="1:4" x14ac:dyDescent="0.25">
      <c r="A4090" t="s">
        <v>503</v>
      </c>
      <c r="B4090" t="s">
        <v>247</v>
      </c>
      <c r="C4090" s="2">
        <f>HYPERLINK("https://svao.dolgi.msk.ru/account/1760152239/", 1760152239)</f>
        <v>1760152239</v>
      </c>
      <c r="D4090">
        <v>4279.1499999999996</v>
      </c>
    </row>
    <row r="4091" spans="1:4" x14ac:dyDescent="0.25">
      <c r="A4091" t="s">
        <v>503</v>
      </c>
      <c r="B4091" t="s">
        <v>247</v>
      </c>
      <c r="C4091" s="2">
        <f>HYPERLINK("https://svao.dolgi.msk.ru/account/1761793003/", 1761793003)</f>
        <v>1761793003</v>
      </c>
      <c r="D4091">
        <v>1362.28</v>
      </c>
    </row>
    <row r="4092" spans="1:4" x14ac:dyDescent="0.25">
      <c r="A4092" t="s">
        <v>503</v>
      </c>
      <c r="B4092" t="s">
        <v>315</v>
      </c>
      <c r="C4092" s="2">
        <f>HYPERLINK("https://svao.dolgi.msk.ru/account/1760152298/", 1760152298)</f>
        <v>1760152298</v>
      </c>
      <c r="D4092">
        <v>7110.64</v>
      </c>
    </row>
    <row r="4093" spans="1:4" x14ac:dyDescent="0.25">
      <c r="A4093" t="s">
        <v>503</v>
      </c>
      <c r="B4093" t="s">
        <v>301</v>
      </c>
      <c r="C4093" s="2">
        <f>HYPERLINK("https://svao.dolgi.msk.ru/account/1760152319/", 1760152319)</f>
        <v>1760152319</v>
      </c>
      <c r="D4093">
        <v>7452.9</v>
      </c>
    </row>
    <row r="4094" spans="1:4" x14ac:dyDescent="0.25">
      <c r="A4094" t="s">
        <v>503</v>
      </c>
      <c r="B4094" t="s">
        <v>339</v>
      </c>
      <c r="C4094" s="2">
        <f>HYPERLINK("https://svao.dolgi.msk.ru/account/1760152378/", 1760152378)</f>
        <v>1760152378</v>
      </c>
      <c r="D4094">
        <v>3155.82</v>
      </c>
    </row>
    <row r="4095" spans="1:4" x14ac:dyDescent="0.25">
      <c r="A4095" t="s">
        <v>503</v>
      </c>
      <c r="B4095" t="s">
        <v>47</v>
      </c>
      <c r="C4095" s="2">
        <f>HYPERLINK("https://svao.dolgi.msk.ru/account/1760152386/", 1760152386)</f>
        <v>1760152386</v>
      </c>
      <c r="D4095">
        <v>7789.91</v>
      </c>
    </row>
    <row r="4096" spans="1:4" x14ac:dyDescent="0.25">
      <c r="A4096" t="s">
        <v>503</v>
      </c>
      <c r="B4096" t="s">
        <v>48</v>
      </c>
      <c r="C4096" s="2">
        <f>HYPERLINK("https://svao.dolgi.msk.ru/account/1760152415/", 1760152415)</f>
        <v>1760152415</v>
      </c>
      <c r="D4096">
        <v>4998.76</v>
      </c>
    </row>
    <row r="4097" spans="1:4" x14ac:dyDescent="0.25">
      <c r="A4097" t="s">
        <v>503</v>
      </c>
      <c r="B4097" t="s">
        <v>294</v>
      </c>
      <c r="C4097" s="2">
        <f>HYPERLINK("https://svao.dolgi.msk.ru/account/1760152431/", 1760152431)</f>
        <v>1760152431</v>
      </c>
      <c r="D4097">
        <v>5181.63</v>
      </c>
    </row>
    <row r="4098" spans="1:4" x14ac:dyDescent="0.25">
      <c r="A4098" t="s">
        <v>503</v>
      </c>
      <c r="B4098" t="s">
        <v>147</v>
      </c>
      <c r="C4098" s="2">
        <f>HYPERLINK("https://svao.dolgi.msk.ru/account/1760152458/", 1760152458)</f>
        <v>1760152458</v>
      </c>
      <c r="D4098">
        <v>6559.58</v>
      </c>
    </row>
    <row r="4099" spans="1:4" x14ac:dyDescent="0.25">
      <c r="A4099" t="s">
        <v>503</v>
      </c>
      <c r="B4099" t="s">
        <v>306</v>
      </c>
      <c r="C4099" s="2">
        <f>HYPERLINK("https://svao.dolgi.msk.ru/account/1760152482/", 1760152482)</f>
        <v>1760152482</v>
      </c>
      <c r="D4099">
        <v>5430.58</v>
      </c>
    </row>
    <row r="4100" spans="1:4" x14ac:dyDescent="0.25">
      <c r="A4100" t="s">
        <v>503</v>
      </c>
      <c r="B4100" t="s">
        <v>150</v>
      </c>
      <c r="C4100" s="2">
        <f>HYPERLINK("https://svao.dolgi.msk.ru/account/1760152634/", 1760152634)</f>
        <v>1760152634</v>
      </c>
      <c r="D4100">
        <v>550.41</v>
      </c>
    </row>
    <row r="4101" spans="1:4" x14ac:dyDescent="0.25">
      <c r="A4101" t="s">
        <v>503</v>
      </c>
      <c r="B4101" t="s">
        <v>150</v>
      </c>
      <c r="C4101" s="2">
        <f>HYPERLINK("https://svao.dolgi.msk.ru/account/1761791876/", 1761791876)</f>
        <v>1761791876</v>
      </c>
      <c r="D4101">
        <v>4052.88</v>
      </c>
    </row>
    <row r="4102" spans="1:4" x14ac:dyDescent="0.25">
      <c r="A4102" t="s">
        <v>503</v>
      </c>
      <c r="B4102" t="s">
        <v>296</v>
      </c>
      <c r="C4102" s="2">
        <f>HYPERLINK("https://svao.dolgi.msk.ru/account/1760152669/", 1760152669)</f>
        <v>1760152669</v>
      </c>
      <c r="D4102">
        <v>706.55</v>
      </c>
    </row>
    <row r="4103" spans="1:4" x14ac:dyDescent="0.25">
      <c r="A4103" t="s">
        <v>503</v>
      </c>
      <c r="B4103" t="s">
        <v>254</v>
      </c>
      <c r="C4103" s="2">
        <f>HYPERLINK("https://svao.dolgi.msk.ru/account/1760152765/", 1760152765)</f>
        <v>1760152765</v>
      </c>
      <c r="D4103">
        <v>555.89</v>
      </c>
    </row>
    <row r="4104" spans="1:4" x14ac:dyDescent="0.25">
      <c r="A4104" t="s">
        <v>503</v>
      </c>
      <c r="B4104" t="s">
        <v>327</v>
      </c>
      <c r="C4104" s="2">
        <f>HYPERLINK("https://svao.dolgi.msk.ru/account/1760152853/", 1760152853)</f>
        <v>1760152853</v>
      </c>
      <c r="D4104">
        <v>8383.4599999999991</v>
      </c>
    </row>
    <row r="4105" spans="1:4" x14ac:dyDescent="0.25">
      <c r="A4105" t="s">
        <v>503</v>
      </c>
      <c r="B4105" t="s">
        <v>154</v>
      </c>
      <c r="C4105" s="2">
        <f>HYPERLINK("https://svao.dolgi.msk.ru/account/1760152888/", 1760152888)</f>
        <v>1760152888</v>
      </c>
      <c r="D4105">
        <v>4531.75</v>
      </c>
    </row>
    <row r="4106" spans="1:4" x14ac:dyDescent="0.25">
      <c r="A4106" t="s">
        <v>503</v>
      </c>
      <c r="B4106" t="s">
        <v>335</v>
      </c>
      <c r="C4106" s="2">
        <f>HYPERLINK("https://svao.dolgi.msk.ru/account/1760152917/", 1760152917)</f>
        <v>1760152917</v>
      </c>
      <c r="D4106">
        <v>11684.02</v>
      </c>
    </row>
    <row r="4107" spans="1:4" x14ac:dyDescent="0.25">
      <c r="A4107" t="s">
        <v>503</v>
      </c>
      <c r="B4107" t="s">
        <v>340</v>
      </c>
      <c r="C4107" s="2">
        <f>HYPERLINK("https://svao.dolgi.msk.ru/account/1760152976/", 1760152976)</f>
        <v>1760152976</v>
      </c>
      <c r="D4107">
        <v>3440.33</v>
      </c>
    </row>
    <row r="4108" spans="1:4" x14ac:dyDescent="0.25">
      <c r="A4108" t="s">
        <v>503</v>
      </c>
      <c r="B4108" t="s">
        <v>57</v>
      </c>
      <c r="C4108" s="2">
        <f>HYPERLINK("https://svao.dolgi.msk.ru/account/1760153004/", 1760153004)</f>
        <v>1760153004</v>
      </c>
      <c r="D4108">
        <v>4777.84</v>
      </c>
    </row>
    <row r="4109" spans="1:4" x14ac:dyDescent="0.25">
      <c r="A4109" t="s">
        <v>503</v>
      </c>
      <c r="B4109" t="s">
        <v>58</v>
      </c>
      <c r="C4109" s="2">
        <f>HYPERLINK("https://svao.dolgi.msk.ru/account/1760153012/", 1760153012)</f>
        <v>1760153012</v>
      </c>
      <c r="D4109">
        <v>14399.04</v>
      </c>
    </row>
    <row r="4110" spans="1:4" x14ac:dyDescent="0.25">
      <c r="A4110" t="s">
        <v>503</v>
      </c>
      <c r="B4110" t="s">
        <v>62</v>
      </c>
      <c r="C4110" s="2">
        <f>HYPERLINK("https://svao.dolgi.msk.ru/account/1760153178/", 1760153178)</f>
        <v>1760153178</v>
      </c>
      <c r="D4110">
        <v>1309.96</v>
      </c>
    </row>
    <row r="4111" spans="1:4" x14ac:dyDescent="0.25">
      <c r="A4111" t="s">
        <v>503</v>
      </c>
      <c r="B4111" t="s">
        <v>345</v>
      </c>
      <c r="C4111" s="2">
        <f>HYPERLINK("https://svao.dolgi.msk.ru/account/1760153223/", 1760153223)</f>
        <v>1760153223</v>
      </c>
      <c r="D4111">
        <v>3488.35</v>
      </c>
    </row>
    <row r="4112" spans="1:4" x14ac:dyDescent="0.25">
      <c r="A4112" t="s">
        <v>503</v>
      </c>
      <c r="B4112" t="s">
        <v>346</v>
      </c>
      <c r="C4112" s="2">
        <f>HYPERLINK("https://svao.dolgi.msk.ru/account/1760153282/", 1760153282)</f>
        <v>1760153282</v>
      </c>
      <c r="D4112">
        <v>7080.37</v>
      </c>
    </row>
    <row r="4113" spans="1:4" x14ac:dyDescent="0.25">
      <c r="A4113" t="s">
        <v>503</v>
      </c>
      <c r="B4113" t="s">
        <v>258</v>
      </c>
      <c r="C4113" s="2">
        <f>HYPERLINK("https://svao.dolgi.msk.ru/account/1760153354/", 1760153354)</f>
        <v>1760153354</v>
      </c>
      <c r="D4113">
        <v>34250.699999999997</v>
      </c>
    </row>
    <row r="4114" spans="1:4" x14ac:dyDescent="0.25">
      <c r="A4114" t="s">
        <v>503</v>
      </c>
      <c r="B4114" t="s">
        <v>259</v>
      </c>
      <c r="C4114" s="2">
        <f>HYPERLINK("https://svao.dolgi.msk.ru/account/1760153426/", 1760153426)</f>
        <v>1760153426</v>
      </c>
      <c r="D4114">
        <v>5807</v>
      </c>
    </row>
    <row r="4115" spans="1:4" x14ac:dyDescent="0.25">
      <c r="A4115" t="s">
        <v>503</v>
      </c>
      <c r="B4115" t="s">
        <v>69</v>
      </c>
      <c r="C4115" s="2">
        <f>HYPERLINK("https://svao.dolgi.msk.ru/account/1760153442/", 1760153442)</f>
        <v>1760153442</v>
      </c>
      <c r="D4115">
        <v>30520.5</v>
      </c>
    </row>
    <row r="4116" spans="1:4" x14ac:dyDescent="0.25">
      <c r="A4116" t="s">
        <v>503</v>
      </c>
      <c r="B4116" t="s">
        <v>70</v>
      </c>
      <c r="C4116" s="2">
        <f>HYPERLINK("https://svao.dolgi.msk.ru/account/1760153477/", 1760153477)</f>
        <v>1760153477</v>
      </c>
      <c r="D4116">
        <v>4787.6099999999997</v>
      </c>
    </row>
    <row r="4117" spans="1:4" x14ac:dyDescent="0.25">
      <c r="A4117" t="s">
        <v>503</v>
      </c>
      <c r="B4117" t="s">
        <v>262</v>
      </c>
      <c r="C4117" s="2">
        <f>HYPERLINK("https://svao.dolgi.msk.ru/account/1760153522/", 1760153522)</f>
        <v>1760153522</v>
      </c>
      <c r="D4117">
        <v>6250.98</v>
      </c>
    </row>
    <row r="4118" spans="1:4" x14ac:dyDescent="0.25">
      <c r="A4118" t="s">
        <v>503</v>
      </c>
      <c r="B4118" t="s">
        <v>166</v>
      </c>
      <c r="C4118" s="2">
        <f>HYPERLINK("https://svao.dolgi.msk.ru/account/1760153565/", 1760153565)</f>
        <v>1760153565</v>
      </c>
      <c r="D4118">
        <v>16671.009999999998</v>
      </c>
    </row>
    <row r="4119" spans="1:4" x14ac:dyDescent="0.25">
      <c r="A4119" t="s">
        <v>503</v>
      </c>
      <c r="B4119" t="s">
        <v>167</v>
      </c>
      <c r="C4119" s="2">
        <f>HYPERLINK("https://svao.dolgi.msk.ru/account/1760153573/", 1760153573)</f>
        <v>1760153573</v>
      </c>
      <c r="D4119">
        <v>5845.34</v>
      </c>
    </row>
    <row r="4120" spans="1:4" x14ac:dyDescent="0.25">
      <c r="A4120" t="s">
        <v>503</v>
      </c>
      <c r="B4120" t="s">
        <v>168</v>
      </c>
      <c r="C4120" s="2">
        <f>HYPERLINK("https://svao.dolgi.msk.ru/account/1760153637/", 1760153637)</f>
        <v>1760153637</v>
      </c>
      <c r="D4120">
        <v>6005.97</v>
      </c>
    </row>
    <row r="4121" spans="1:4" x14ac:dyDescent="0.25">
      <c r="A4121" t="s">
        <v>503</v>
      </c>
      <c r="B4121" t="s">
        <v>267</v>
      </c>
      <c r="C4121" s="2">
        <f>HYPERLINK("https://svao.dolgi.msk.ru/account/1760153936/", 1760153936)</f>
        <v>1760153936</v>
      </c>
      <c r="D4121">
        <v>1276.8</v>
      </c>
    </row>
    <row r="4122" spans="1:4" x14ac:dyDescent="0.25">
      <c r="A4122" t="s">
        <v>503</v>
      </c>
      <c r="B4122" t="s">
        <v>504</v>
      </c>
      <c r="C4122" s="2">
        <f>HYPERLINK("https://svao.dolgi.msk.ru/account/1760154007/", 1760154007)</f>
        <v>1760154007</v>
      </c>
      <c r="D4122">
        <v>24257.4</v>
      </c>
    </row>
    <row r="4123" spans="1:4" x14ac:dyDescent="0.25">
      <c r="A4123" t="s">
        <v>503</v>
      </c>
      <c r="B4123" t="s">
        <v>269</v>
      </c>
      <c r="C4123" s="2">
        <f>HYPERLINK("https://svao.dolgi.msk.ru/account/1760154031/", 1760154031)</f>
        <v>1760154031</v>
      </c>
      <c r="D4123">
        <v>453.64</v>
      </c>
    </row>
    <row r="4124" spans="1:4" x14ac:dyDescent="0.25">
      <c r="A4124" t="s">
        <v>503</v>
      </c>
      <c r="B4124" t="s">
        <v>270</v>
      </c>
      <c r="C4124" s="2">
        <f>HYPERLINK("https://svao.dolgi.msk.ru/account/1760154058/", 1760154058)</f>
        <v>1760154058</v>
      </c>
      <c r="D4124">
        <v>4555.72</v>
      </c>
    </row>
    <row r="4125" spans="1:4" x14ac:dyDescent="0.25">
      <c r="A4125" t="s">
        <v>503</v>
      </c>
      <c r="B4125" t="s">
        <v>272</v>
      </c>
      <c r="C4125" s="2">
        <f>HYPERLINK("https://svao.dolgi.msk.ru/account/1760154074/", 1760154074)</f>
        <v>1760154074</v>
      </c>
      <c r="D4125">
        <v>6027.3</v>
      </c>
    </row>
    <row r="4126" spans="1:4" x14ac:dyDescent="0.25">
      <c r="A4126" t="s">
        <v>503</v>
      </c>
      <c r="B4126" t="s">
        <v>273</v>
      </c>
      <c r="C4126" s="2">
        <f>HYPERLINK("https://svao.dolgi.msk.ru/account/1760154146/", 1760154146)</f>
        <v>1760154146</v>
      </c>
      <c r="D4126">
        <v>3563.13</v>
      </c>
    </row>
    <row r="4127" spans="1:4" x14ac:dyDescent="0.25">
      <c r="A4127" t="s">
        <v>503</v>
      </c>
      <c r="B4127" t="s">
        <v>181</v>
      </c>
      <c r="C4127" s="2">
        <f>HYPERLINK("https://svao.dolgi.msk.ru/account/1760154162/", 1760154162)</f>
        <v>1760154162</v>
      </c>
      <c r="D4127">
        <v>47413.69</v>
      </c>
    </row>
    <row r="4128" spans="1:4" x14ac:dyDescent="0.25">
      <c r="A4128" t="s">
        <v>503</v>
      </c>
      <c r="B4128" t="s">
        <v>422</v>
      </c>
      <c r="C4128" s="2">
        <f>HYPERLINK("https://svao.dolgi.msk.ru/account/1760154293/", 1760154293)</f>
        <v>1760154293</v>
      </c>
      <c r="D4128">
        <v>3337.52</v>
      </c>
    </row>
    <row r="4129" spans="1:4" x14ac:dyDescent="0.25">
      <c r="A4129" t="s">
        <v>503</v>
      </c>
      <c r="B4129" t="s">
        <v>505</v>
      </c>
      <c r="C4129" s="2">
        <f>HYPERLINK("https://svao.dolgi.msk.ru/account/1760154429/", 1760154429)</f>
        <v>1760154429</v>
      </c>
      <c r="D4129">
        <v>500</v>
      </c>
    </row>
    <row r="4130" spans="1:4" x14ac:dyDescent="0.25">
      <c r="A4130" t="s">
        <v>503</v>
      </c>
      <c r="B4130" t="s">
        <v>506</v>
      </c>
      <c r="C4130" s="2">
        <f>HYPERLINK("https://svao.dolgi.msk.ru/account/1760154445/", 1760154445)</f>
        <v>1760154445</v>
      </c>
      <c r="D4130">
        <v>3120.38</v>
      </c>
    </row>
    <row r="4131" spans="1:4" x14ac:dyDescent="0.25">
      <c r="A4131" t="s">
        <v>503</v>
      </c>
      <c r="B4131" t="s">
        <v>188</v>
      </c>
      <c r="C4131" s="2">
        <f>HYPERLINK("https://svao.dolgi.msk.ru/account/1760154488/", 1760154488)</f>
        <v>1760154488</v>
      </c>
      <c r="D4131">
        <v>5197.12</v>
      </c>
    </row>
    <row r="4132" spans="1:4" x14ac:dyDescent="0.25">
      <c r="A4132" t="s">
        <v>503</v>
      </c>
      <c r="B4132" t="s">
        <v>507</v>
      </c>
      <c r="C4132" s="2">
        <f>HYPERLINK("https://svao.dolgi.msk.ru/account/1760154509/", 1760154509)</f>
        <v>1760154509</v>
      </c>
      <c r="D4132">
        <v>6351.14</v>
      </c>
    </row>
    <row r="4133" spans="1:4" x14ac:dyDescent="0.25">
      <c r="A4133" t="s">
        <v>503</v>
      </c>
      <c r="B4133" t="s">
        <v>189</v>
      </c>
      <c r="C4133" s="2">
        <f>HYPERLINK("https://svao.dolgi.msk.ru/account/1760154517/", 1760154517)</f>
        <v>1760154517</v>
      </c>
      <c r="D4133">
        <v>5254.74</v>
      </c>
    </row>
    <row r="4134" spans="1:4" x14ac:dyDescent="0.25">
      <c r="A4134" t="s">
        <v>503</v>
      </c>
      <c r="B4134" t="s">
        <v>489</v>
      </c>
      <c r="C4134" s="2">
        <f>HYPERLINK("https://svao.dolgi.msk.ru/account/1760154576/", 1760154576)</f>
        <v>1760154576</v>
      </c>
      <c r="D4134">
        <v>2932.37</v>
      </c>
    </row>
    <row r="4135" spans="1:4" x14ac:dyDescent="0.25">
      <c r="A4135" t="s">
        <v>503</v>
      </c>
      <c r="B4135" t="s">
        <v>280</v>
      </c>
      <c r="C4135" s="2">
        <f>HYPERLINK("https://svao.dolgi.msk.ru/account/1760154605/", 1760154605)</f>
        <v>1760154605</v>
      </c>
      <c r="D4135">
        <v>6067.77</v>
      </c>
    </row>
    <row r="4136" spans="1:4" x14ac:dyDescent="0.25">
      <c r="A4136" t="s">
        <v>503</v>
      </c>
      <c r="B4136" t="s">
        <v>193</v>
      </c>
      <c r="C4136" s="2">
        <f>HYPERLINK("https://svao.dolgi.msk.ru/account/1760154664/", 1760154664)</f>
        <v>1760154664</v>
      </c>
      <c r="D4136">
        <v>4215.74</v>
      </c>
    </row>
    <row r="4137" spans="1:4" x14ac:dyDescent="0.25">
      <c r="A4137" t="s">
        <v>503</v>
      </c>
      <c r="B4137" t="s">
        <v>194</v>
      </c>
      <c r="C4137" s="2">
        <f>HYPERLINK("https://svao.dolgi.msk.ru/account/1760154672/", 1760154672)</f>
        <v>1760154672</v>
      </c>
      <c r="D4137">
        <v>5727.74</v>
      </c>
    </row>
    <row r="4138" spans="1:4" x14ac:dyDescent="0.25">
      <c r="A4138" t="s">
        <v>503</v>
      </c>
      <c r="B4138" t="s">
        <v>361</v>
      </c>
      <c r="C4138" s="2">
        <f>HYPERLINK("https://svao.dolgi.msk.ru/account/1760154752/", 1760154752)</f>
        <v>1760154752</v>
      </c>
      <c r="D4138">
        <v>6443.26</v>
      </c>
    </row>
    <row r="4139" spans="1:4" x14ac:dyDescent="0.25">
      <c r="A4139" t="s">
        <v>503</v>
      </c>
      <c r="B4139" t="s">
        <v>363</v>
      </c>
      <c r="C4139" s="2">
        <f>HYPERLINK("https://svao.dolgi.msk.ru/account/1760154787/", 1760154787)</f>
        <v>1760154787</v>
      </c>
      <c r="D4139">
        <v>2782.06</v>
      </c>
    </row>
    <row r="4140" spans="1:4" x14ac:dyDescent="0.25">
      <c r="A4140" t="s">
        <v>503</v>
      </c>
      <c r="B4140" t="s">
        <v>508</v>
      </c>
      <c r="C4140" s="2">
        <f>HYPERLINK("https://svao.dolgi.msk.ru/account/1760154795/", 1760154795)</f>
        <v>1760154795</v>
      </c>
      <c r="D4140">
        <v>10668.33</v>
      </c>
    </row>
    <row r="4141" spans="1:4" x14ac:dyDescent="0.25">
      <c r="A4141" t="s">
        <v>503</v>
      </c>
      <c r="B4141" t="s">
        <v>509</v>
      </c>
      <c r="C4141" s="2">
        <f>HYPERLINK("https://svao.dolgi.msk.ru/account/1760154808/", 1760154808)</f>
        <v>1760154808</v>
      </c>
      <c r="D4141">
        <v>8096.38</v>
      </c>
    </row>
    <row r="4142" spans="1:4" x14ac:dyDescent="0.25">
      <c r="A4142" t="s">
        <v>503</v>
      </c>
      <c r="B4142" t="s">
        <v>510</v>
      </c>
      <c r="C4142" s="2">
        <f>HYPERLINK("https://svao.dolgi.msk.ru/account/1760154816/", 1760154816)</f>
        <v>1760154816</v>
      </c>
      <c r="D4142">
        <v>3835.78</v>
      </c>
    </row>
    <row r="4143" spans="1:4" x14ac:dyDescent="0.25">
      <c r="A4143" t="s">
        <v>503</v>
      </c>
      <c r="B4143" t="s">
        <v>198</v>
      </c>
      <c r="C4143" s="2">
        <f>HYPERLINK("https://svao.dolgi.msk.ru/account/1760154832/", 1760154832)</f>
        <v>1760154832</v>
      </c>
      <c r="D4143">
        <v>3393.22</v>
      </c>
    </row>
    <row r="4144" spans="1:4" x14ac:dyDescent="0.25">
      <c r="A4144" t="s">
        <v>503</v>
      </c>
      <c r="B4144" t="s">
        <v>511</v>
      </c>
      <c r="C4144" s="2">
        <f>HYPERLINK("https://svao.dolgi.msk.ru/account/1760154891/", 1760154891)</f>
        <v>1760154891</v>
      </c>
      <c r="D4144">
        <v>5021.8</v>
      </c>
    </row>
    <row r="4145" spans="1:4" x14ac:dyDescent="0.25">
      <c r="A4145" t="s">
        <v>503</v>
      </c>
      <c r="B4145" t="s">
        <v>205</v>
      </c>
      <c r="C4145" s="2">
        <f>HYPERLINK("https://svao.dolgi.msk.ru/account/1760155018/", 1760155018)</f>
        <v>1760155018</v>
      </c>
      <c r="D4145">
        <v>9526.4599999999991</v>
      </c>
    </row>
    <row r="4146" spans="1:4" x14ac:dyDescent="0.25">
      <c r="A4146" t="s">
        <v>503</v>
      </c>
      <c r="B4146" t="s">
        <v>512</v>
      </c>
      <c r="C4146" s="2">
        <f>HYPERLINK("https://svao.dolgi.msk.ru/account/1760155085/", 1760155085)</f>
        <v>1760155085</v>
      </c>
      <c r="D4146">
        <v>2500.7399999999998</v>
      </c>
    </row>
    <row r="4147" spans="1:4" x14ac:dyDescent="0.25">
      <c r="A4147" t="s">
        <v>503</v>
      </c>
      <c r="B4147" t="s">
        <v>287</v>
      </c>
      <c r="C4147" s="2">
        <f>HYPERLINK("https://svao.dolgi.msk.ru/account/1760155114/", 1760155114)</f>
        <v>1760155114</v>
      </c>
      <c r="D4147">
        <v>2301.7800000000002</v>
      </c>
    </row>
    <row r="4148" spans="1:4" x14ac:dyDescent="0.25">
      <c r="A4148" t="s">
        <v>503</v>
      </c>
      <c r="B4148" t="s">
        <v>513</v>
      </c>
      <c r="C4148" s="2">
        <f>HYPERLINK("https://svao.dolgi.msk.ru/account/1760155122/", 1760155122)</f>
        <v>1760155122</v>
      </c>
      <c r="D4148">
        <v>3522.2</v>
      </c>
    </row>
    <row r="4149" spans="1:4" x14ac:dyDescent="0.25">
      <c r="A4149" t="s">
        <v>503</v>
      </c>
      <c r="B4149" t="s">
        <v>491</v>
      </c>
      <c r="C4149" s="2">
        <f>HYPERLINK("https://svao.dolgi.msk.ru/account/1760155173/", 1760155173)</f>
        <v>1760155173</v>
      </c>
      <c r="D4149">
        <v>4059.21</v>
      </c>
    </row>
    <row r="4150" spans="1:4" x14ac:dyDescent="0.25">
      <c r="A4150" t="s">
        <v>503</v>
      </c>
      <c r="B4150" t="s">
        <v>493</v>
      </c>
      <c r="C4150" s="2">
        <f>HYPERLINK("https://svao.dolgi.msk.ru/account/1760155245/", 1760155245)</f>
        <v>1760155245</v>
      </c>
      <c r="D4150">
        <v>5221.5600000000004</v>
      </c>
    </row>
    <row r="4151" spans="1:4" x14ac:dyDescent="0.25">
      <c r="A4151" t="s">
        <v>503</v>
      </c>
      <c r="B4151" t="s">
        <v>211</v>
      </c>
      <c r="C4151" s="2">
        <f>HYPERLINK("https://svao.dolgi.msk.ru/account/1760155261/", 1760155261)</f>
        <v>1760155261</v>
      </c>
      <c r="D4151">
        <v>2578.4299999999998</v>
      </c>
    </row>
    <row r="4152" spans="1:4" x14ac:dyDescent="0.25">
      <c r="A4152" t="s">
        <v>503</v>
      </c>
      <c r="B4152" t="s">
        <v>495</v>
      </c>
      <c r="C4152" s="2">
        <f>HYPERLINK("https://svao.dolgi.msk.ru/account/1760155296/", 1760155296)</f>
        <v>1760155296</v>
      </c>
      <c r="D4152">
        <v>4050.4</v>
      </c>
    </row>
    <row r="4153" spans="1:4" x14ac:dyDescent="0.25">
      <c r="A4153" t="s">
        <v>503</v>
      </c>
      <c r="B4153" t="s">
        <v>496</v>
      </c>
      <c r="C4153" s="2">
        <f>HYPERLINK("https://svao.dolgi.msk.ru/account/1760155325/", 1760155325)</f>
        <v>1760155325</v>
      </c>
      <c r="D4153">
        <v>4013.36</v>
      </c>
    </row>
    <row r="4154" spans="1:4" x14ac:dyDescent="0.25">
      <c r="A4154" t="s">
        <v>503</v>
      </c>
      <c r="B4154" t="s">
        <v>514</v>
      </c>
      <c r="C4154" s="2">
        <f>HYPERLINK("https://svao.dolgi.msk.ru/account/1760155341/", 1760155341)</f>
        <v>1760155341</v>
      </c>
      <c r="D4154">
        <v>3815.27</v>
      </c>
    </row>
    <row r="4155" spans="1:4" x14ac:dyDescent="0.25">
      <c r="A4155" t="s">
        <v>503</v>
      </c>
      <c r="B4155" t="s">
        <v>213</v>
      </c>
      <c r="C4155" s="2">
        <f>HYPERLINK("https://svao.dolgi.msk.ru/account/1760155368/", 1760155368)</f>
        <v>1760155368</v>
      </c>
      <c r="D4155">
        <v>3604.76</v>
      </c>
    </row>
    <row r="4156" spans="1:4" x14ac:dyDescent="0.25">
      <c r="A4156" t="s">
        <v>503</v>
      </c>
      <c r="B4156" t="s">
        <v>497</v>
      </c>
      <c r="C4156" s="2">
        <f>HYPERLINK("https://svao.dolgi.msk.ru/account/1760155392/", 1760155392)</f>
        <v>1760155392</v>
      </c>
      <c r="D4156">
        <v>3532.16</v>
      </c>
    </row>
    <row r="4157" spans="1:4" x14ac:dyDescent="0.25">
      <c r="A4157" t="s">
        <v>503</v>
      </c>
      <c r="B4157" t="s">
        <v>215</v>
      </c>
      <c r="C4157" s="2">
        <f>HYPERLINK("https://svao.dolgi.msk.ru/account/1760155413/", 1760155413)</f>
        <v>1760155413</v>
      </c>
      <c r="D4157">
        <v>11308.12</v>
      </c>
    </row>
    <row r="4158" spans="1:4" x14ac:dyDescent="0.25">
      <c r="A4158" t="s">
        <v>503</v>
      </c>
      <c r="B4158" t="s">
        <v>515</v>
      </c>
      <c r="C4158" s="2">
        <f>HYPERLINK("https://svao.dolgi.msk.ru/account/1760155448/", 1760155448)</f>
        <v>1760155448</v>
      </c>
      <c r="D4158">
        <v>5698.29</v>
      </c>
    </row>
    <row r="4159" spans="1:4" x14ac:dyDescent="0.25">
      <c r="A4159" t="s">
        <v>503</v>
      </c>
      <c r="B4159" t="s">
        <v>216</v>
      </c>
      <c r="C4159" s="2">
        <f>HYPERLINK("https://svao.dolgi.msk.ru/account/1760155472/", 1760155472)</f>
        <v>1760155472</v>
      </c>
      <c r="D4159">
        <v>14204.41</v>
      </c>
    </row>
    <row r="4160" spans="1:4" x14ac:dyDescent="0.25">
      <c r="A4160" t="s">
        <v>503</v>
      </c>
      <c r="B4160" t="s">
        <v>217</v>
      </c>
      <c r="C4160" s="2">
        <f>HYPERLINK("https://svao.dolgi.msk.ru/account/1760155499/", 1760155499)</f>
        <v>1760155499</v>
      </c>
      <c r="D4160">
        <v>3651.27</v>
      </c>
    </row>
    <row r="4161" spans="1:4" x14ac:dyDescent="0.25">
      <c r="A4161" t="s">
        <v>503</v>
      </c>
      <c r="B4161" t="s">
        <v>218</v>
      </c>
      <c r="C4161" s="2">
        <f>HYPERLINK("https://svao.dolgi.msk.ru/account/1760155528/", 1760155528)</f>
        <v>1760155528</v>
      </c>
      <c r="D4161">
        <v>2990.14</v>
      </c>
    </row>
    <row r="4162" spans="1:4" x14ac:dyDescent="0.25">
      <c r="A4162" t="s">
        <v>516</v>
      </c>
      <c r="B4162" t="s">
        <v>6</v>
      </c>
      <c r="C4162" s="2">
        <f>HYPERLINK("https://svao.dolgi.msk.ru/account/1760131542/", 1760131542)</f>
        <v>1760131542</v>
      </c>
      <c r="D4162">
        <v>15959.43</v>
      </c>
    </row>
    <row r="4163" spans="1:4" x14ac:dyDescent="0.25">
      <c r="A4163" t="s">
        <v>516</v>
      </c>
      <c r="B4163" t="s">
        <v>101</v>
      </c>
      <c r="C4163" s="2">
        <f>HYPERLINK("https://svao.dolgi.msk.ru/account/1760131614/", 1760131614)</f>
        <v>1760131614</v>
      </c>
      <c r="D4163">
        <v>8562.9500000000007</v>
      </c>
    </row>
    <row r="4164" spans="1:4" x14ac:dyDescent="0.25">
      <c r="A4164" t="s">
        <v>516</v>
      </c>
      <c r="B4164" t="s">
        <v>102</v>
      </c>
      <c r="C4164" s="2">
        <f>HYPERLINK("https://svao.dolgi.msk.ru/account/1760131649/", 1760131649)</f>
        <v>1760131649</v>
      </c>
      <c r="D4164">
        <v>2545.75</v>
      </c>
    </row>
    <row r="4165" spans="1:4" x14ac:dyDescent="0.25">
      <c r="A4165" t="s">
        <v>516</v>
      </c>
      <c r="B4165" t="s">
        <v>103</v>
      </c>
      <c r="C4165" s="2">
        <f>HYPERLINK("https://svao.dolgi.msk.ru/account/1760131657/", 1760131657)</f>
        <v>1760131657</v>
      </c>
      <c r="D4165">
        <v>8573.5</v>
      </c>
    </row>
    <row r="4166" spans="1:4" x14ac:dyDescent="0.25">
      <c r="A4166" t="s">
        <v>516</v>
      </c>
      <c r="B4166" t="s">
        <v>104</v>
      </c>
      <c r="C4166" s="2">
        <f>HYPERLINK("https://svao.dolgi.msk.ru/account/1760131673/", 1760131673)</f>
        <v>1760131673</v>
      </c>
      <c r="D4166">
        <v>6463.09</v>
      </c>
    </row>
    <row r="4167" spans="1:4" x14ac:dyDescent="0.25">
      <c r="A4167" t="s">
        <v>516</v>
      </c>
      <c r="B4167" t="s">
        <v>74</v>
      </c>
      <c r="C4167" s="2">
        <f>HYPERLINK("https://svao.dolgi.msk.ru/account/1760131702/", 1760131702)</f>
        <v>1760131702</v>
      </c>
      <c r="D4167">
        <v>8077.99</v>
      </c>
    </row>
    <row r="4168" spans="1:4" x14ac:dyDescent="0.25">
      <c r="A4168" t="s">
        <v>516</v>
      </c>
      <c r="B4168" t="s">
        <v>9</v>
      </c>
      <c r="C4168" s="2">
        <f>HYPERLINK("https://svao.dolgi.msk.ru/account/1760131745/", 1760131745)</f>
        <v>1760131745</v>
      </c>
      <c r="D4168">
        <v>21270.98</v>
      </c>
    </row>
    <row r="4169" spans="1:4" x14ac:dyDescent="0.25">
      <c r="A4169" t="s">
        <v>516</v>
      </c>
      <c r="B4169" t="s">
        <v>75</v>
      </c>
      <c r="C4169" s="2">
        <f>HYPERLINK("https://svao.dolgi.msk.ru/account/1760131753/", 1760131753)</f>
        <v>1760131753</v>
      </c>
      <c r="D4169">
        <v>9809.1</v>
      </c>
    </row>
    <row r="4170" spans="1:4" x14ac:dyDescent="0.25">
      <c r="A4170" t="s">
        <v>516</v>
      </c>
      <c r="B4170" t="s">
        <v>91</v>
      </c>
      <c r="C4170" s="2">
        <f>HYPERLINK("https://svao.dolgi.msk.ru/account/1760131761/", 1760131761)</f>
        <v>1760131761</v>
      </c>
      <c r="D4170">
        <v>3440.87</v>
      </c>
    </row>
    <row r="4171" spans="1:4" x14ac:dyDescent="0.25">
      <c r="A4171" t="s">
        <v>516</v>
      </c>
      <c r="B4171" t="s">
        <v>10</v>
      </c>
      <c r="C4171" s="2">
        <f>HYPERLINK("https://svao.dolgi.msk.ru/account/1760131788/", 1760131788)</f>
        <v>1760131788</v>
      </c>
      <c r="D4171">
        <v>9117.66</v>
      </c>
    </row>
    <row r="4172" spans="1:4" x14ac:dyDescent="0.25">
      <c r="A4172" t="s">
        <v>516</v>
      </c>
      <c r="B4172" t="s">
        <v>13</v>
      </c>
      <c r="C4172" s="2">
        <f>HYPERLINK("https://svao.dolgi.msk.ru/account/1760131833/", 1760131833)</f>
        <v>1760131833</v>
      </c>
      <c r="D4172">
        <v>1647.64</v>
      </c>
    </row>
    <row r="4173" spans="1:4" x14ac:dyDescent="0.25">
      <c r="A4173" t="s">
        <v>516</v>
      </c>
      <c r="B4173" t="s">
        <v>16</v>
      </c>
      <c r="C4173" s="2">
        <f>HYPERLINK("https://svao.dolgi.msk.ru/account/1760131913/", 1760131913)</f>
        <v>1760131913</v>
      </c>
      <c r="D4173">
        <v>11066.54</v>
      </c>
    </row>
    <row r="4174" spans="1:4" x14ac:dyDescent="0.25">
      <c r="A4174" t="s">
        <v>516</v>
      </c>
      <c r="B4174" t="s">
        <v>18</v>
      </c>
      <c r="C4174" s="2">
        <f>HYPERLINK("https://svao.dolgi.msk.ru/account/1760131964/", 1760131964)</f>
        <v>1760131964</v>
      </c>
      <c r="D4174">
        <v>71934.179999999993</v>
      </c>
    </row>
    <row r="4175" spans="1:4" x14ac:dyDescent="0.25">
      <c r="A4175" t="s">
        <v>516</v>
      </c>
      <c r="B4175" t="s">
        <v>20</v>
      </c>
      <c r="C4175" s="2">
        <f>HYPERLINK("https://svao.dolgi.msk.ru/account/1760132043/", 1760132043)</f>
        <v>1760132043</v>
      </c>
      <c r="D4175">
        <v>27502.93</v>
      </c>
    </row>
    <row r="4176" spans="1:4" x14ac:dyDescent="0.25">
      <c r="A4176" t="s">
        <v>516</v>
      </c>
      <c r="B4176" t="s">
        <v>76</v>
      </c>
      <c r="C4176" s="2">
        <f>HYPERLINK("https://svao.dolgi.msk.ru/account/1760132078/", 1760132078)</f>
        <v>1760132078</v>
      </c>
      <c r="D4176">
        <v>7017.57</v>
      </c>
    </row>
    <row r="4177" spans="1:4" x14ac:dyDescent="0.25">
      <c r="A4177" t="s">
        <v>516</v>
      </c>
      <c r="B4177" t="s">
        <v>79</v>
      </c>
      <c r="C4177" s="2">
        <f>HYPERLINK("https://svao.dolgi.msk.ru/account/1760132238/", 1760132238)</f>
        <v>1760132238</v>
      </c>
      <c r="D4177">
        <v>4198.3599999999997</v>
      </c>
    </row>
    <row r="4178" spans="1:4" x14ac:dyDescent="0.25">
      <c r="A4178" t="s">
        <v>516</v>
      </c>
      <c r="B4178" t="s">
        <v>79</v>
      </c>
      <c r="C4178" s="2">
        <f>HYPERLINK("https://svao.dolgi.msk.ru/account/1760132246/", 1760132246)</f>
        <v>1760132246</v>
      </c>
      <c r="D4178">
        <v>3409.36</v>
      </c>
    </row>
    <row r="4179" spans="1:4" x14ac:dyDescent="0.25">
      <c r="A4179" t="s">
        <v>516</v>
      </c>
      <c r="B4179" t="s">
        <v>79</v>
      </c>
      <c r="C4179" s="2">
        <f>HYPERLINK("https://svao.dolgi.msk.ru/account/1760132254/", 1760132254)</f>
        <v>1760132254</v>
      </c>
      <c r="D4179">
        <v>8374.9699999999993</v>
      </c>
    </row>
    <row r="4180" spans="1:4" x14ac:dyDescent="0.25">
      <c r="A4180" t="s">
        <v>516</v>
      </c>
      <c r="B4180" t="s">
        <v>320</v>
      </c>
      <c r="C4180" s="2">
        <f>HYPERLINK("https://svao.dolgi.msk.ru/account/1760132326/", 1760132326)</f>
        <v>1760132326</v>
      </c>
      <c r="D4180">
        <v>10264.540000000001</v>
      </c>
    </row>
    <row r="4181" spans="1:4" x14ac:dyDescent="0.25">
      <c r="A4181" t="s">
        <v>516</v>
      </c>
      <c r="B4181" t="s">
        <v>314</v>
      </c>
      <c r="C4181" s="2">
        <f>HYPERLINK("https://svao.dolgi.msk.ru/account/1760132342/", 1760132342)</f>
        <v>1760132342</v>
      </c>
      <c r="D4181">
        <v>7329.37</v>
      </c>
    </row>
    <row r="4182" spans="1:4" x14ac:dyDescent="0.25">
      <c r="A4182" t="s">
        <v>516</v>
      </c>
      <c r="B4182" t="s">
        <v>242</v>
      </c>
      <c r="C4182" s="2">
        <f>HYPERLINK("https://svao.dolgi.msk.ru/account/1760132369/", 1760132369)</f>
        <v>1760132369</v>
      </c>
      <c r="D4182">
        <v>5853.4</v>
      </c>
    </row>
    <row r="4183" spans="1:4" x14ac:dyDescent="0.25">
      <c r="A4183" t="s">
        <v>516</v>
      </c>
      <c r="B4183" t="s">
        <v>95</v>
      </c>
      <c r="C4183" s="2">
        <f>HYPERLINK("https://svao.dolgi.msk.ru/account/1760132377/", 1760132377)</f>
        <v>1760132377</v>
      </c>
      <c r="D4183">
        <v>436337.94</v>
      </c>
    </row>
    <row r="4184" spans="1:4" x14ac:dyDescent="0.25">
      <c r="A4184" t="s">
        <v>516</v>
      </c>
      <c r="B4184" t="s">
        <v>81</v>
      </c>
      <c r="C4184" s="2">
        <f>HYPERLINK("https://svao.dolgi.msk.ru/account/1760132473/", 1760132473)</f>
        <v>1760132473</v>
      </c>
      <c r="D4184">
        <v>9851</v>
      </c>
    </row>
    <row r="4185" spans="1:4" x14ac:dyDescent="0.25">
      <c r="A4185" t="s">
        <v>516</v>
      </c>
      <c r="B4185" t="s">
        <v>120</v>
      </c>
      <c r="C4185" s="2">
        <f>HYPERLINK("https://svao.dolgi.msk.ru/account/1760132537/", 1760132537)</f>
        <v>1760132537</v>
      </c>
      <c r="D4185">
        <v>9064.26</v>
      </c>
    </row>
    <row r="4186" spans="1:4" x14ac:dyDescent="0.25">
      <c r="A4186" t="s">
        <v>516</v>
      </c>
      <c r="B4186" t="s">
        <v>82</v>
      </c>
      <c r="C4186" s="2">
        <f>HYPERLINK("https://svao.dolgi.msk.ru/account/1760132545/", 1760132545)</f>
        <v>1760132545</v>
      </c>
      <c r="D4186">
        <v>270943.76</v>
      </c>
    </row>
    <row r="4187" spans="1:4" x14ac:dyDescent="0.25">
      <c r="A4187" t="s">
        <v>516</v>
      </c>
      <c r="B4187" t="s">
        <v>132</v>
      </c>
      <c r="C4187" s="2">
        <f>HYPERLINK("https://svao.dolgi.msk.ru/account/1760132609/", 1760132609)</f>
        <v>1760132609</v>
      </c>
      <c r="D4187">
        <v>27374.93</v>
      </c>
    </row>
    <row r="4188" spans="1:4" x14ac:dyDescent="0.25">
      <c r="A4188" t="s">
        <v>516</v>
      </c>
      <c r="B4188" t="s">
        <v>133</v>
      </c>
      <c r="C4188" s="2">
        <f>HYPERLINK("https://svao.dolgi.msk.ru/account/1760132625/", 1760132625)</f>
        <v>1760132625</v>
      </c>
      <c r="D4188">
        <v>2012.97</v>
      </c>
    </row>
    <row r="4189" spans="1:4" x14ac:dyDescent="0.25">
      <c r="A4189" t="s">
        <v>516</v>
      </c>
      <c r="B4189" t="s">
        <v>27</v>
      </c>
      <c r="C4189" s="2">
        <f>HYPERLINK("https://svao.dolgi.msk.ru/account/1760132641/", 1760132641)</f>
        <v>1760132641</v>
      </c>
      <c r="D4189">
        <v>7795.8</v>
      </c>
    </row>
    <row r="4190" spans="1:4" x14ac:dyDescent="0.25">
      <c r="A4190" t="s">
        <v>516</v>
      </c>
      <c r="B4190" t="s">
        <v>121</v>
      </c>
      <c r="C4190" s="2">
        <f>HYPERLINK("https://svao.dolgi.msk.ru/account/1760132692/", 1760132692)</f>
        <v>1760132692</v>
      </c>
      <c r="D4190">
        <v>7097.55</v>
      </c>
    </row>
    <row r="4191" spans="1:4" x14ac:dyDescent="0.25">
      <c r="A4191" t="s">
        <v>516</v>
      </c>
      <c r="B4191" t="s">
        <v>244</v>
      </c>
      <c r="C4191" s="2">
        <f>HYPERLINK("https://svao.dolgi.msk.ru/account/1760132756/", 1760132756)</f>
        <v>1760132756</v>
      </c>
      <c r="D4191">
        <v>2203.3000000000002</v>
      </c>
    </row>
    <row r="4192" spans="1:4" x14ac:dyDescent="0.25">
      <c r="A4192" t="s">
        <v>516</v>
      </c>
      <c r="B4192" t="s">
        <v>245</v>
      </c>
      <c r="C4192" s="2">
        <f>HYPERLINK("https://svao.dolgi.msk.ru/account/1760132908/", 1760132908)</f>
        <v>1760132908</v>
      </c>
      <c r="D4192">
        <v>6465.24</v>
      </c>
    </row>
    <row r="4193" spans="1:4" x14ac:dyDescent="0.25">
      <c r="A4193" t="s">
        <v>516</v>
      </c>
      <c r="B4193" t="s">
        <v>85</v>
      </c>
      <c r="C4193" s="2">
        <f>HYPERLINK("https://svao.dolgi.msk.ru/account/1760132924/", 1760132924)</f>
        <v>1760132924</v>
      </c>
      <c r="D4193">
        <v>8843.36</v>
      </c>
    </row>
    <row r="4194" spans="1:4" x14ac:dyDescent="0.25">
      <c r="A4194" t="s">
        <v>516</v>
      </c>
      <c r="B4194" t="s">
        <v>35</v>
      </c>
      <c r="C4194" s="2">
        <f>HYPERLINK("https://svao.dolgi.msk.ru/account/1760132975/", 1760132975)</f>
        <v>1760132975</v>
      </c>
      <c r="D4194">
        <v>10579.43</v>
      </c>
    </row>
    <row r="4195" spans="1:4" x14ac:dyDescent="0.25">
      <c r="A4195" t="s">
        <v>516</v>
      </c>
      <c r="B4195" t="s">
        <v>99</v>
      </c>
      <c r="C4195" s="2">
        <f>HYPERLINK("https://svao.dolgi.msk.ru/account/1760132983/", 1760132983)</f>
        <v>1760132983</v>
      </c>
      <c r="D4195">
        <v>13822.23</v>
      </c>
    </row>
    <row r="4196" spans="1:4" x14ac:dyDescent="0.25">
      <c r="A4196" t="s">
        <v>516</v>
      </c>
      <c r="B4196" t="s">
        <v>304</v>
      </c>
      <c r="C4196" s="2">
        <f>HYPERLINK("https://svao.dolgi.msk.ru/account/1760133097/", 1760133097)</f>
        <v>1760133097</v>
      </c>
      <c r="D4196">
        <v>4461.57</v>
      </c>
    </row>
    <row r="4197" spans="1:4" x14ac:dyDescent="0.25">
      <c r="A4197" t="s">
        <v>516</v>
      </c>
      <c r="B4197" t="s">
        <v>37</v>
      </c>
      <c r="C4197" s="2">
        <f>HYPERLINK("https://svao.dolgi.msk.ru/account/1760133126/", 1760133126)</f>
        <v>1760133126</v>
      </c>
      <c r="D4197">
        <v>607.46</v>
      </c>
    </row>
    <row r="4198" spans="1:4" x14ac:dyDescent="0.25">
      <c r="A4198" t="s">
        <v>516</v>
      </c>
      <c r="B4198" t="s">
        <v>40</v>
      </c>
      <c r="C4198" s="2">
        <f>HYPERLINK("https://svao.dolgi.msk.ru/account/1760133185/", 1760133185)</f>
        <v>1760133185</v>
      </c>
      <c r="D4198">
        <v>8134.31</v>
      </c>
    </row>
    <row r="4199" spans="1:4" x14ac:dyDescent="0.25">
      <c r="A4199" t="s">
        <v>516</v>
      </c>
      <c r="B4199" t="s">
        <v>43</v>
      </c>
      <c r="C4199" s="2">
        <f>HYPERLINK("https://svao.dolgi.msk.ru/account/1760133193/", 1760133193)</f>
        <v>1760133193</v>
      </c>
      <c r="D4199">
        <v>7164.37</v>
      </c>
    </row>
    <row r="4200" spans="1:4" x14ac:dyDescent="0.25">
      <c r="A4200" t="s">
        <v>516</v>
      </c>
      <c r="B4200" t="s">
        <v>140</v>
      </c>
      <c r="C4200" s="2">
        <f>HYPERLINK("https://svao.dolgi.msk.ru/account/1760133206/", 1760133206)</f>
        <v>1760133206</v>
      </c>
      <c r="D4200">
        <v>8182.73</v>
      </c>
    </row>
    <row r="4201" spans="1:4" x14ac:dyDescent="0.25">
      <c r="A4201" t="s">
        <v>516</v>
      </c>
      <c r="B4201" t="s">
        <v>247</v>
      </c>
      <c r="C4201" s="2">
        <f>HYPERLINK("https://svao.dolgi.msk.ru/account/1760133273/", 1760133273)</f>
        <v>1760133273</v>
      </c>
      <c r="D4201">
        <v>7979.1</v>
      </c>
    </row>
    <row r="4202" spans="1:4" x14ac:dyDescent="0.25">
      <c r="A4202" t="s">
        <v>516</v>
      </c>
      <c r="B4202" t="s">
        <v>305</v>
      </c>
      <c r="C4202" s="2">
        <f>HYPERLINK("https://svao.dolgi.msk.ru/account/1760133302/", 1760133302)</f>
        <v>1760133302</v>
      </c>
      <c r="D4202">
        <v>3643.31</v>
      </c>
    </row>
    <row r="4203" spans="1:4" x14ac:dyDescent="0.25">
      <c r="A4203" t="s">
        <v>516</v>
      </c>
      <c r="B4203" t="s">
        <v>315</v>
      </c>
      <c r="C4203" s="2">
        <f>HYPERLINK("https://svao.dolgi.msk.ru/account/1760133353/", 1760133353)</f>
        <v>1760133353</v>
      </c>
      <c r="D4203">
        <v>5325.59</v>
      </c>
    </row>
    <row r="4204" spans="1:4" x14ac:dyDescent="0.25">
      <c r="A4204" t="s">
        <v>516</v>
      </c>
      <c r="B4204" t="s">
        <v>339</v>
      </c>
      <c r="C4204" s="2">
        <f>HYPERLINK("https://svao.dolgi.msk.ru/account/1760133425/", 1760133425)</f>
        <v>1760133425</v>
      </c>
      <c r="D4204">
        <v>5194.22</v>
      </c>
    </row>
    <row r="4205" spans="1:4" x14ac:dyDescent="0.25">
      <c r="A4205" t="s">
        <v>516</v>
      </c>
      <c r="B4205" t="s">
        <v>146</v>
      </c>
      <c r="C4205" s="2">
        <f>HYPERLINK("https://svao.dolgi.msk.ru/account/1760133468/", 1760133468)</f>
        <v>1760133468</v>
      </c>
      <c r="D4205">
        <v>5311.03</v>
      </c>
    </row>
    <row r="4206" spans="1:4" x14ac:dyDescent="0.25">
      <c r="A4206" t="s">
        <v>516</v>
      </c>
      <c r="B4206" t="s">
        <v>294</v>
      </c>
      <c r="C4206" s="2">
        <f>HYPERLINK("https://svao.dolgi.msk.ru/account/1760133492/", 1760133492)</f>
        <v>1760133492</v>
      </c>
      <c r="D4206">
        <v>6049.39</v>
      </c>
    </row>
    <row r="4207" spans="1:4" x14ac:dyDescent="0.25">
      <c r="A4207" t="s">
        <v>516</v>
      </c>
      <c r="B4207" t="s">
        <v>251</v>
      </c>
      <c r="C4207" s="2">
        <f>HYPERLINK("https://svao.dolgi.msk.ru/account/1760133521/", 1760133521)</f>
        <v>1760133521</v>
      </c>
      <c r="D4207">
        <v>7866.59</v>
      </c>
    </row>
    <row r="4208" spans="1:4" x14ac:dyDescent="0.25">
      <c r="A4208" t="s">
        <v>516</v>
      </c>
      <c r="B4208" t="s">
        <v>252</v>
      </c>
      <c r="C4208" s="2">
        <f>HYPERLINK("https://svao.dolgi.msk.ru/account/1760133548/", 1760133548)</f>
        <v>1760133548</v>
      </c>
      <c r="D4208">
        <v>16196.73</v>
      </c>
    </row>
    <row r="4209" spans="1:4" x14ac:dyDescent="0.25">
      <c r="A4209" t="s">
        <v>516</v>
      </c>
      <c r="B4209" t="s">
        <v>150</v>
      </c>
      <c r="C4209" s="2">
        <f>HYPERLINK("https://svao.dolgi.msk.ru/account/1760133687/", 1760133687)</f>
        <v>1760133687</v>
      </c>
      <c r="D4209">
        <v>6642.23</v>
      </c>
    </row>
    <row r="4210" spans="1:4" x14ac:dyDescent="0.25">
      <c r="A4210" t="s">
        <v>516</v>
      </c>
      <c r="B4210" t="s">
        <v>253</v>
      </c>
      <c r="C4210" s="2">
        <f>HYPERLINK("https://svao.dolgi.msk.ru/account/1760133767/", 1760133767)</f>
        <v>1760133767</v>
      </c>
      <c r="D4210">
        <v>754.99</v>
      </c>
    </row>
    <row r="4211" spans="1:4" x14ac:dyDescent="0.25">
      <c r="A4211" t="s">
        <v>516</v>
      </c>
      <c r="B4211" t="s">
        <v>254</v>
      </c>
      <c r="C4211" s="2">
        <f>HYPERLINK("https://svao.dolgi.msk.ru/account/1760133812/", 1760133812)</f>
        <v>1760133812</v>
      </c>
      <c r="D4211">
        <v>10396.65</v>
      </c>
    </row>
    <row r="4212" spans="1:4" x14ac:dyDescent="0.25">
      <c r="A4212" t="s">
        <v>516</v>
      </c>
      <c r="B4212" t="s">
        <v>55</v>
      </c>
      <c r="C4212" s="2">
        <f>HYPERLINK("https://svao.dolgi.msk.ru/account/1760133855/", 1760133855)</f>
        <v>1760133855</v>
      </c>
      <c r="D4212">
        <v>11987.88</v>
      </c>
    </row>
    <row r="4213" spans="1:4" x14ac:dyDescent="0.25">
      <c r="A4213" t="s">
        <v>516</v>
      </c>
      <c r="B4213" t="s">
        <v>153</v>
      </c>
      <c r="C4213" s="2">
        <f>HYPERLINK("https://svao.dolgi.msk.ru/account/1760133898/", 1760133898)</f>
        <v>1760133898</v>
      </c>
      <c r="D4213">
        <v>2491.44</v>
      </c>
    </row>
    <row r="4214" spans="1:4" x14ac:dyDescent="0.25">
      <c r="A4214" t="s">
        <v>516</v>
      </c>
      <c r="B4214" t="s">
        <v>56</v>
      </c>
      <c r="C4214" s="2">
        <f>HYPERLINK("https://svao.dolgi.msk.ru/account/1760133927/", 1760133927)</f>
        <v>1760133927</v>
      </c>
      <c r="D4214">
        <v>21332.58</v>
      </c>
    </row>
    <row r="4215" spans="1:4" x14ac:dyDescent="0.25">
      <c r="A4215" t="s">
        <v>516</v>
      </c>
      <c r="B4215" t="s">
        <v>312</v>
      </c>
      <c r="C4215" s="2">
        <f>HYPERLINK("https://svao.dolgi.msk.ru/account/1760133951/", 1760133951)</f>
        <v>1760133951</v>
      </c>
      <c r="D4215">
        <v>446.4</v>
      </c>
    </row>
    <row r="4216" spans="1:4" x14ac:dyDescent="0.25">
      <c r="A4216" t="s">
        <v>516</v>
      </c>
      <c r="B4216" t="s">
        <v>335</v>
      </c>
      <c r="C4216" s="2">
        <f>HYPERLINK("https://svao.dolgi.msk.ru/account/1760133978/", 1760133978)</f>
        <v>1760133978</v>
      </c>
      <c r="D4216">
        <v>151.01</v>
      </c>
    </row>
    <row r="4217" spans="1:4" x14ac:dyDescent="0.25">
      <c r="A4217" t="s">
        <v>516</v>
      </c>
      <c r="B4217" t="s">
        <v>340</v>
      </c>
      <c r="C4217" s="2">
        <f>HYPERLINK("https://svao.dolgi.msk.ru/account/1760134022/", 1760134022)</f>
        <v>1760134022</v>
      </c>
      <c r="D4217">
        <v>310.57</v>
      </c>
    </row>
    <row r="4218" spans="1:4" x14ac:dyDescent="0.25">
      <c r="A4218" t="s">
        <v>516</v>
      </c>
      <c r="B4218" t="s">
        <v>57</v>
      </c>
      <c r="C4218" s="2">
        <f>HYPERLINK("https://svao.dolgi.msk.ru/account/1760134065/", 1760134065)</f>
        <v>1760134065</v>
      </c>
      <c r="D4218">
        <v>5977.77</v>
      </c>
    </row>
    <row r="4219" spans="1:4" x14ac:dyDescent="0.25">
      <c r="A4219" t="s">
        <v>516</v>
      </c>
      <c r="B4219" t="s">
        <v>59</v>
      </c>
      <c r="C4219" s="2">
        <f>HYPERLINK("https://svao.dolgi.msk.ru/account/1760134129/", 1760134129)</f>
        <v>1760134129</v>
      </c>
      <c r="D4219">
        <v>8028.47</v>
      </c>
    </row>
    <row r="4220" spans="1:4" x14ac:dyDescent="0.25">
      <c r="A4220" t="s">
        <v>516</v>
      </c>
      <c r="B4220" t="s">
        <v>256</v>
      </c>
      <c r="C4220" s="2">
        <f>HYPERLINK("https://svao.dolgi.msk.ru/account/1760134137/", 1760134137)</f>
        <v>1760134137</v>
      </c>
      <c r="D4220">
        <v>2360.2399999999998</v>
      </c>
    </row>
    <row r="4221" spans="1:4" x14ac:dyDescent="0.25">
      <c r="A4221" t="s">
        <v>516</v>
      </c>
      <c r="B4221" t="s">
        <v>61</v>
      </c>
      <c r="C4221" s="2">
        <f>HYPERLINK("https://svao.dolgi.msk.ru/account/1760134217/", 1760134217)</f>
        <v>1760134217</v>
      </c>
      <c r="D4221">
        <v>23338.09</v>
      </c>
    </row>
    <row r="4222" spans="1:4" x14ac:dyDescent="0.25">
      <c r="A4222" t="s">
        <v>516</v>
      </c>
      <c r="B4222" t="s">
        <v>63</v>
      </c>
      <c r="C4222" s="2">
        <f>HYPERLINK("https://svao.dolgi.msk.ru/account/1760261195/", 1760261195)</f>
        <v>1760261195</v>
      </c>
      <c r="D4222">
        <v>3807.91</v>
      </c>
    </row>
    <row r="4223" spans="1:4" x14ac:dyDescent="0.25">
      <c r="A4223" t="s">
        <v>516</v>
      </c>
      <c r="B4223" t="s">
        <v>379</v>
      </c>
      <c r="C4223" s="2">
        <f>HYPERLINK("https://svao.dolgi.msk.ru/account/1760134372/", 1760134372)</f>
        <v>1760134372</v>
      </c>
      <c r="D4223">
        <v>245.48</v>
      </c>
    </row>
    <row r="4224" spans="1:4" x14ac:dyDescent="0.25">
      <c r="A4224" t="s">
        <v>516</v>
      </c>
      <c r="B4224" t="s">
        <v>68</v>
      </c>
      <c r="C4224" s="2">
        <f>HYPERLINK("https://svao.dolgi.msk.ru/account/1760134452/", 1760134452)</f>
        <v>1760134452</v>
      </c>
      <c r="D4224">
        <v>9917.7900000000009</v>
      </c>
    </row>
    <row r="4225" spans="1:4" x14ac:dyDescent="0.25">
      <c r="A4225" t="s">
        <v>516</v>
      </c>
      <c r="B4225" t="s">
        <v>70</v>
      </c>
      <c r="C4225" s="2">
        <f>HYPERLINK("https://svao.dolgi.msk.ru/account/1760134524/", 1760134524)</f>
        <v>1760134524</v>
      </c>
      <c r="D4225">
        <v>8346.2099999999991</v>
      </c>
    </row>
    <row r="4226" spans="1:4" x14ac:dyDescent="0.25">
      <c r="A4226" t="s">
        <v>516</v>
      </c>
      <c r="B4226" t="s">
        <v>416</v>
      </c>
      <c r="C4226" s="2">
        <f>HYPERLINK("https://svao.dolgi.msk.ru/account/1760134559/", 1760134559)</f>
        <v>1760134559</v>
      </c>
      <c r="D4226">
        <v>8092.16</v>
      </c>
    </row>
    <row r="4227" spans="1:4" x14ac:dyDescent="0.25">
      <c r="A4227" t="s">
        <v>516</v>
      </c>
      <c r="B4227" t="s">
        <v>71</v>
      </c>
      <c r="C4227" s="2">
        <f>HYPERLINK("https://svao.dolgi.msk.ru/account/1760134567/", 1760134567)</f>
        <v>1760134567</v>
      </c>
      <c r="D4227">
        <v>5460.1</v>
      </c>
    </row>
    <row r="4228" spans="1:4" x14ac:dyDescent="0.25">
      <c r="A4228" t="s">
        <v>516</v>
      </c>
      <c r="B4228" t="s">
        <v>262</v>
      </c>
      <c r="C4228" s="2">
        <f>HYPERLINK("https://svao.dolgi.msk.ru/account/1760134583/", 1760134583)</f>
        <v>1760134583</v>
      </c>
      <c r="D4228">
        <v>12410.71</v>
      </c>
    </row>
    <row r="4229" spans="1:4" x14ac:dyDescent="0.25">
      <c r="A4229" t="s">
        <v>516</v>
      </c>
      <c r="B4229" t="s">
        <v>165</v>
      </c>
      <c r="C4229" s="2">
        <f>HYPERLINK("https://svao.dolgi.msk.ru/account/1760134612/", 1760134612)</f>
        <v>1760134612</v>
      </c>
      <c r="D4229">
        <v>36433.339999999997</v>
      </c>
    </row>
    <row r="4230" spans="1:4" x14ac:dyDescent="0.25">
      <c r="A4230" t="s">
        <v>516</v>
      </c>
      <c r="B4230" t="s">
        <v>167</v>
      </c>
      <c r="C4230" s="2">
        <f>HYPERLINK("https://svao.dolgi.msk.ru/account/1760134647/", 1760134647)</f>
        <v>1760134647</v>
      </c>
      <c r="D4230">
        <v>2135.73</v>
      </c>
    </row>
    <row r="4231" spans="1:4" x14ac:dyDescent="0.25">
      <c r="A4231" t="s">
        <v>516</v>
      </c>
      <c r="B4231" t="s">
        <v>417</v>
      </c>
      <c r="C4231" s="2">
        <f>HYPERLINK("https://svao.dolgi.msk.ru/account/1760134655/", 1760134655)</f>
        <v>1760134655</v>
      </c>
      <c r="D4231">
        <v>5694.22</v>
      </c>
    </row>
    <row r="4232" spans="1:4" x14ac:dyDescent="0.25">
      <c r="A4232" t="s">
        <v>516</v>
      </c>
      <c r="B4232" t="s">
        <v>454</v>
      </c>
      <c r="C4232" s="2">
        <f>HYPERLINK("https://svao.dolgi.msk.ru/account/1760134663/", 1760134663)</f>
        <v>1760134663</v>
      </c>
      <c r="D4232">
        <v>6090.47</v>
      </c>
    </row>
    <row r="4233" spans="1:4" x14ac:dyDescent="0.25">
      <c r="A4233" t="s">
        <v>516</v>
      </c>
      <c r="B4233" t="s">
        <v>418</v>
      </c>
      <c r="C4233" s="2">
        <f>HYPERLINK("https://svao.dolgi.msk.ru/account/1760134671/", 1760134671)</f>
        <v>1760134671</v>
      </c>
      <c r="D4233">
        <v>4733.17</v>
      </c>
    </row>
    <row r="4234" spans="1:4" x14ac:dyDescent="0.25">
      <c r="A4234" t="s">
        <v>516</v>
      </c>
      <c r="B4234" t="s">
        <v>168</v>
      </c>
      <c r="C4234" s="2">
        <f>HYPERLINK("https://svao.dolgi.msk.ru/account/1760134698/", 1760134698)</f>
        <v>1760134698</v>
      </c>
      <c r="D4234">
        <v>8706.26</v>
      </c>
    </row>
    <row r="4235" spans="1:4" x14ac:dyDescent="0.25">
      <c r="A4235" t="s">
        <v>516</v>
      </c>
      <c r="B4235" t="s">
        <v>348</v>
      </c>
      <c r="C4235" s="2">
        <f>HYPERLINK("https://svao.dolgi.msk.ru/account/1760134735/", 1760134735)</f>
        <v>1760134735</v>
      </c>
      <c r="D4235">
        <v>1371.38</v>
      </c>
    </row>
    <row r="4236" spans="1:4" x14ac:dyDescent="0.25">
      <c r="A4236" t="s">
        <v>516</v>
      </c>
      <c r="B4236" t="s">
        <v>170</v>
      </c>
      <c r="C4236" s="2">
        <f>HYPERLINK("https://svao.dolgi.msk.ru/account/1760134751/", 1760134751)</f>
        <v>1760134751</v>
      </c>
      <c r="D4236">
        <v>5899.37</v>
      </c>
    </row>
    <row r="4237" spans="1:4" x14ac:dyDescent="0.25">
      <c r="A4237" t="s">
        <v>516</v>
      </c>
      <c r="B4237" t="s">
        <v>263</v>
      </c>
      <c r="C4237" s="2">
        <f>HYPERLINK("https://svao.dolgi.msk.ru/account/1760271297/", 1760271297)</f>
        <v>1760271297</v>
      </c>
      <c r="D4237">
        <v>125</v>
      </c>
    </row>
    <row r="4238" spans="1:4" x14ac:dyDescent="0.25">
      <c r="A4238" t="s">
        <v>516</v>
      </c>
      <c r="B4238" t="s">
        <v>263</v>
      </c>
      <c r="C4238" s="2">
        <f>HYPERLINK("https://svao.dolgi.msk.ru/account/1760271318/", 1760271318)</f>
        <v>1760271318</v>
      </c>
      <c r="D4238">
        <v>125</v>
      </c>
    </row>
    <row r="4239" spans="1:4" x14ac:dyDescent="0.25">
      <c r="A4239" t="s">
        <v>516</v>
      </c>
      <c r="B4239" t="s">
        <v>264</v>
      </c>
      <c r="C4239" s="2">
        <f>HYPERLINK("https://svao.dolgi.msk.ru/account/1760134786/", 1760134786)</f>
        <v>1760134786</v>
      </c>
      <c r="D4239">
        <v>6016.14</v>
      </c>
    </row>
    <row r="4240" spans="1:4" x14ac:dyDescent="0.25">
      <c r="A4240" t="s">
        <v>516</v>
      </c>
      <c r="B4240" t="s">
        <v>478</v>
      </c>
      <c r="C4240" s="2">
        <f>HYPERLINK("https://svao.dolgi.msk.ru/account/1760134815/", 1760134815)</f>
        <v>1760134815</v>
      </c>
      <c r="D4240">
        <v>5844.11</v>
      </c>
    </row>
    <row r="4241" spans="1:4" x14ac:dyDescent="0.25">
      <c r="A4241" t="s">
        <v>516</v>
      </c>
      <c r="B4241" t="s">
        <v>266</v>
      </c>
      <c r="C4241" s="2">
        <f>HYPERLINK("https://svao.dolgi.msk.ru/account/1760134874/", 1760134874)</f>
        <v>1760134874</v>
      </c>
      <c r="D4241">
        <v>387.53</v>
      </c>
    </row>
    <row r="4242" spans="1:4" x14ac:dyDescent="0.25">
      <c r="A4242" t="s">
        <v>516</v>
      </c>
      <c r="B4242" t="s">
        <v>486</v>
      </c>
      <c r="C4242" s="2">
        <f>HYPERLINK("https://svao.dolgi.msk.ru/account/1760134989/", 1760134989)</f>
        <v>1760134989</v>
      </c>
      <c r="D4242">
        <v>9374.57</v>
      </c>
    </row>
    <row r="4243" spans="1:4" x14ac:dyDescent="0.25">
      <c r="A4243" t="s">
        <v>516</v>
      </c>
      <c r="B4243" t="s">
        <v>420</v>
      </c>
      <c r="C4243" s="2">
        <f>HYPERLINK("https://svao.dolgi.msk.ru/account/1760134997/", 1760134997)</f>
        <v>1760134997</v>
      </c>
      <c r="D4243">
        <v>6443</v>
      </c>
    </row>
    <row r="4244" spans="1:4" x14ac:dyDescent="0.25">
      <c r="A4244" t="s">
        <v>516</v>
      </c>
      <c r="B4244" t="s">
        <v>267</v>
      </c>
      <c r="C4244" s="2">
        <f>HYPERLINK("https://svao.dolgi.msk.ru/account/1760135017/", 1760135017)</f>
        <v>1760135017</v>
      </c>
      <c r="D4244">
        <v>18893.14</v>
      </c>
    </row>
    <row r="4245" spans="1:4" x14ac:dyDescent="0.25">
      <c r="A4245" t="s">
        <v>516</v>
      </c>
      <c r="B4245" t="s">
        <v>175</v>
      </c>
      <c r="C4245" s="2">
        <f>HYPERLINK("https://svao.dolgi.msk.ru/account/1760135041/", 1760135041)</f>
        <v>1760135041</v>
      </c>
      <c r="D4245">
        <v>5068.45</v>
      </c>
    </row>
    <row r="4246" spans="1:4" x14ac:dyDescent="0.25">
      <c r="A4246" t="s">
        <v>516</v>
      </c>
      <c r="B4246" t="s">
        <v>177</v>
      </c>
      <c r="C4246" s="2">
        <f>HYPERLINK("https://svao.dolgi.msk.ru/account/1760135084/", 1760135084)</f>
        <v>1760135084</v>
      </c>
      <c r="D4246">
        <v>73932.7</v>
      </c>
    </row>
    <row r="4247" spans="1:4" x14ac:dyDescent="0.25">
      <c r="A4247" t="s">
        <v>516</v>
      </c>
      <c r="B4247" t="s">
        <v>504</v>
      </c>
      <c r="C4247" s="2">
        <f>HYPERLINK("https://svao.dolgi.msk.ru/account/1760135092/", 1760135092)</f>
        <v>1760135092</v>
      </c>
      <c r="D4247">
        <v>7600.05</v>
      </c>
    </row>
    <row r="4248" spans="1:4" x14ac:dyDescent="0.25">
      <c r="A4248" t="s">
        <v>516</v>
      </c>
      <c r="B4248" t="s">
        <v>269</v>
      </c>
      <c r="C4248" s="2">
        <f>HYPERLINK("https://svao.dolgi.msk.ru/account/1760135121/", 1760135121)</f>
        <v>1760135121</v>
      </c>
      <c r="D4248">
        <v>6926.05</v>
      </c>
    </row>
    <row r="4249" spans="1:4" x14ac:dyDescent="0.25">
      <c r="A4249" t="s">
        <v>516</v>
      </c>
      <c r="B4249" t="s">
        <v>179</v>
      </c>
      <c r="C4249" s="2">
        <f>HYPERLINK("https://svao.dolgi.msk.ru/account/1760135199/", 1760135199)</f>
        <v>1760135199</v>
      </c>
      <c r="D4249">
        <v>9809.7099999999991</v>
      </c>
    </row>
    <row r="4250" spans="1:4" x14ac:dyDescent="0.25">
      <c r="A4250" t="s">
        <v>516</v>
      </c>
      <c r="B4250" t="s">
        <v>488</v>
      </c>
      <c r="C4250" s="2">
        <f>HYPERLINK("https://svao.dolgi.msk.ru/account/1760135228/", 1760135228)</f>
        <v>1760135228</v>
      </c>
      <c r="D4250">
        <v>5561.19</v>
      </c>
    </row>
    <row r="4251" spans="1:4" x14ac:dyDescent="0.25">
      <c r="A4251" t="s">
        <v>516</v>
      </c>
      <c r="B4251" t="s">
        <v>357</v>
      </c>
      <c r="C4251" s="2">
        <f>HYPERLINK("https://svao.dolgi.msk.ru/account/1760135279/", 1760135279)</f>
        <v>1760135279</v>
      </c>
      <c r="D4251">
        <v>4841.07</v>
      </c>
    </row>
    <row r="4252" spans="1:4" x14ac:dyDescent="0.25">
      <c r="A4252" t="s">
        <v>516</v>
      </c>
      <c r="B4252" t="s">
        <v>276</v>
      </c>
      <c r="C4252" s="2">
        <f>HYPERLINK("https://svao.dolgi.msk.ru/account/1760135287/", 1760135287)</f>
        <v>1760135287</v>
      </c>
      <c r="D4252">
        <v>4743.16</v>
      </c>
    </row>
    <row r="4253" spans="1:4" x14ac:dyDescent="0.25">
      <c r="A4253" t="s">
        <v>516</v>
      </c>
      <c r="B4253" t="s">
        <v>183</v>
      </c>
      <c r="C4253" s="2">
        <f>HYPERLINK("https://svao.dolgi.msk.ru/account/1760135316/", 1760135316)</f>
        <v>1760135316</v>
      </c>
      <c r="D4253">
        <v>4949.96</v>
      </c>
    </row>
    <row r="4254" spans="1:4" x14ac:dyDescent="0.25">
      <c r="A4254" t="s">
        <v>516</v>
      </c>
      <c r="B4254" t="s">
        <v>186</v>
      </c>
      <c r="C4254" s="2">
        <f>HYPERLINK("https://svao.dolgi.msk.ru/account/1760135367/", 1760135367)</f>
        <v>1760135367</v>
      </c>
      <c r="D4254">
        <v>11097.47</v>
      </c>
    </row>
    <row r="4255" spans="1:4" x14ac:dyDescent="0.25">
      <c r="A4255" t="s">
        <v>516</v>
      </c>
      <c r="B4255" t="s">
        <v>358</v>
      </c>
      <c r="C4255" s="2">
        <f>HYPERLINK("https://svao.dolgi.msk.ru/account/1760135404/", 1760135404)</f>
        <v>1760135404</v>
      </c>
      <c r="D4255">
        <v>12848.19</v>
      </c>
    </row>
    <row r="4256" spans="1:4" x14ac:dyDescent="0.25">
      <c r="A4256" t="s">
        <v>516</v>
      </c>
      <c r="B4256" t="s">
        <v>187</v>
      </c>
      <c r="C4256" s="2">
        <f>HYPERLINK("https://svao.dolgi.msk.ru/account/1760135447/", 1760135447)</f>
        <v>1760135447</v>
      </c>
      <c r="D4256">
        <v>2593.0100000000002</v>
      </c>
    </row>
    <row r="4257" spans="1:4" x14ac:dyDescent="0.25">
      <c r="A4257" t="s">
        <v>516</v>
      </c>
      <c r="B4257" t="s">
        <v>188</v>
      </c>
      <c r="C4257" s="2">
        <f>HYPERLINK("https://svao.dolgi.msk.ru/account/1760135455/", 1760135455)</f>
        <v>1760135455</v>
      </c>
      <c r="D4257">
        <v>8045.19</v>
      </c>
    </row>
    <row r="4258" spans="1:4" x14ac:dyDescent="0.25">
      <c r="A4258" t="s">
        <v>516</v>
      </c>
      <c r="B4258" t="s">
        <v>190</v>
      </c>
      <c r="C4258" s="2">
        <f>HYPERLINK("https://svao.dolgi.msk.ru/account/1760135527/", 1760135527)</f>
        <v>1760135527</v>
      </c>
      <c r="D4258">
        <v>4128.8599999999997</v>
      </c>
    </row>
    <row r="4259" spans="1:4" x14ac:dyDescent="0.25">
      <c r="A4259" t="s">
        <v>516</v>
      </c>
      <c r="B4259" t="s">
        <v>517</v>
      </c>
      <c r="C4259" s="2">
        <f>HYPERLINK("https://svao.dolgi.msk.ru/account/1760135535/", 1760135535)</f>
        <v>1760135535</v>
      </c>
      <c r="D4259">
        <v>5374.19</v>
      </c>
    </row>
    <row r="4260" spans="1:4" x14ac:dyDescent="0.25">
      <c r="A4260" t="s">
        <v>516</v>
      </c>
      <c r="B4260" t="s">
        <v>192</v>
      </c>
      <c r="C4260" s="2">
        <f>HYPERLINK("https://svao.dolgi.msk.ru/account/1760135578/", 1760135578)</f>
        <v>1760135578</v>
      </c>
      <c r="D4260">
        <v>591.16</v>
      </c>
    </row>
    <row r="4261" spans="1:4" x14ac:dyDescent="0.25">
      <c r="A4261" t="s">
        <v>516</v>
      </c>
      <c r="B4261" t="s">
        <v>489</v>
      </c>
      <c r="C4261" s="2">
        <f>HYPERLINK("https://svao.dolgi.msk.ru/account/1760135586/", 1760135586)</f>
        <v>1760135586</v>
      </c>
      <c r="D4261">
        <v>9039.66</v>
      </c>
    </row>
    <row r="4262" spans="1:4" x14ac:dyDescent="0.25">
      <c r="A4262" t="s">
        <v>516</v>
      </c>
      <c r="B4262" t="s">
        <v>195</v>
      </c>
      <c r="C4262" s="2">
        <f>HYPERLINK("https://svao.dolgi.msk.ru/account/1760135711/", 1760135711)</f>
        <v>1760135711</v>
      </c>
      <c r="D4262">
        <v>9794.43</v>
      </c>
    </row>
    <row r="4263" spans="1:4" x14ac:dyDescent="0.25">
      <c r="A4263" t="s">
        <v>516</v>
      </c>
      <c r="B4263" t="s">
        <v>361</v>
      </c>
      <c r="C4263" s="2">
        <f>HYPERLINK("https://svao.dolgi.msk.ru/account/1760135789/", 1760135789)</f>
        <v>1760135789</v>
      </c>
      <c r="D4263">
        <v>7481.03</v>
      </c>
    </row>
    <row r="4264" spans="1:4" x14ac:dyDescent="0.25">
      <c r="A4264" t="s">
        <v>516</v>
      </c>
      <c r="B4264" t="s">
        <v>508</v>
      </c>
      <c r="C4264" s="2">
        <f>HYPERLINK("https://svao.dolgi.msk.ru/account/1760135834/", 1760135834)</f>
        <v>1760135834</v>
      </c>
      <c r="D4264">
        <v>61537.37</v>
      </c>
    </row>
    <row r="4265" spans="1:4" x14ac:dyDescent="0.25">
      <c r="A4265" t="s">
        <v>516</v>
      </c>
      <c r="B4265" t="s">
        <v>510</v>
      </c>
      <c r="C4265" s="2">
        <f>HYPERLINK("https://svao.dolgi.msk.ru/account/1760135885/", 1760135885)</f>
        <v>1760135885</v>
      </c>
      <c r="D4265">
        <v>5743.27</v>
      </c>
    </row>
    <row r="4266" spans="1:4" x14ac:dyDescent="0.25">
      <c r="A4266" t="s">
        <v>516</v>
      </c>
      <c r="B4266" t="s">
        <v>197</v>
      </c>
      <c r="C4266" s="2">
        <f>HYPERLINK("https://svao.dolgi.msk.ru/account/1760135893/", 1760135893)</f>
        <v>1760135893</v>
      </c>
      <c r="D4266">
        <v>6358.65</v>
      </c>
    </row>
    <row r="4267" spans="1:4" x14ac:dyDescent="0.25">
      <c r="A4267" t="s">
        <v>516</v>
      </c>
      <c r="B4267" t="s">
        <v>518</v>
      </c>
      <c r="C4267" s="2">
        <f>HYPERLINK("https://svao.dolgi.msk.ru/account/1760135922/", 1760135922)</f>
        <v>1760135922</v>
      </c>
      <c r="D4267">
        <v>6452.02</v>
      </c>
    </row>
    <row r="4268" spans="1:4" x14ac:dyDescent="0.25">
      <c r="A4268" t="s">
        <v>516</v>
      </c>
      <c r="B4268" t="s">
        <v>204</v>
      </c>
      <c r="C4268" s="2">
        <f>HYPERLINK("https://svao.dolgi.msk.ru/account/1760136036/", 1760136036)</f>
        <v>1760136036</v>
      </c>
      <c r="D4268">
        <v>7068.23</v>
      </c>
    </row>
    <row r="4269" spans="1:4" x14ac:dyDescent="0.25">
      <c r="A4269" t="s">
        <v>516</v>
      </c>
      <c r="B4269" t="s">
        <v>206</v>
      </c>
      <c r="C4269" s="2">
        <f>HYPERLINK("https://svao.dolgi.msk.ru/account/1761811101/", 1761811101)</f>
        <v>1761811101</v>
      </c>
      <c r="D4269">
        <v>11432.41</v>
      </c>
    </row>
    <row r="4270" spans="1:4" x14ac:dyDescent="0.25">
      <c r="A4270" t="s">
        <v>516</v>
      </c>
      <c r="B4270" t="s">
        <v>519</v>
      </c>
      <c r="C4270" s="2">
        <f>HYPERLINK("https://svao.dolgi.msk.ru/account/1760136108/", 1760136108)</f>
        <v>1760136108</v>
      </c>
      <c r="D4270">
        <v>7320.56</v>
      </c>
    </row>
    <row r="4271" spans="1:4" x14ac:dyDescent="0.25">
      <c r="A4271" t="s">
        <v>516</v>
      </c>
      <c r="B4271" t="s">
        <v>207</v>
      </c>
      <c r="C4271" s="2">
        <f>HYPERLINK("https://svao.dolgi.msk.ru/account/1760136116/", 1760136116)</f>
        <v>1760136116</v>
      </c>
      <c r="D4271">
        <v>3313.49</v>
      </c>
    </row>
    <row r="4272" spans="1:4" x14ac:dyDescent="0.25">
      <c r="A4272" t="s">
        <v>516</v>
      </c>
      <c r="B4272" t="s">
        <v>285</v>
      </c>
      <c r="C4272" s="2">
        <f>HYPERLINK("https://svao.dolgi.msk.ru/account/1760136124/", 1760136124)</f>
        <v>1760136124</v>
      </c>
      <c r="D4272">
        <v>15105.14</v>
      </c>
    </row>
    <row r="4273" spans="1:4" x14ac:dyDescent="0.25">
      <c r="A4273" t="s">
        <v>516</v>
      </c>
      <c r="B4273" t="s">
        <v>520</v>
      </c>
      <c r="C4273" s="2">
        <f>HYPERLINK("https://svao.dolgi.msk.ru/account/1760136167/", 1760136167)</f>
        <v>1760136167</v>
      </c>
      <c r="D4273">
        <v>6726.91</v>
      </c>
    </row>
    <row r="4274" spans="1:4" x14ac:dyDescent="0.25">
      <c r="A4274" t="s">
        <v>521</v>
      </c>
      <c r="B4274" t="s">
        <v>5</v>
      </c>
      <c r="C4274" s="2">
        <f>HYPERLINK("https://svao.dolgi.msk.ru/account/1768033728/", 1768033728)</f>
        <v>1768033728</v>
      </c>
      <c r="D4274">
        <v>270.06</v>
      </c>
    </row>
    <row r="4275" spans="1:4" x14ac:dyDescent="0.25">
      <c r="A4275" t="s">
        <v>521</v>
      </c>
      <c r="B4275" t="s">
        <v>141</v>
      </c>
      <c r="C4275" s="2">
        <f>HYPERLINK("https://svao.dolgi.msk.ru/account/1768033752/", 1768033752)</f>
        <v>1768033752</v>
      </c>
      <c r="D4275">
        <v>2006.98</v>
      </c>
    </row>
    <row r="4276" spans="1:4" x14ac:dyDescent="0.25">
      <c r="A4276" t="s">
        <v>521</v>
      </c>
      <c r="B4276" t="s">
        <v>103</v>
      </c>
      <c r="C4276" s="2">
        <f>HYPERLINK("https://svao.dolgi.msk.ru/account/1768033787/", 1768033787)</f>
        <v>1768033787</v>
      </c>
      <c r="D4276">
        <v>1326.57</v>
      </c>
    </row>
    <row r="4277" spans="1:4" x14ac:dyDescent="0.25">
      <c r="A4277" t="s">
        <v>521</v>
      </c>
      <c r="B4277" t="s">
        <v>137</v>
      </c>
      <c r="C4277" s="2">
        <f>HYPERLINK("https://svao.dolgi.msk.ru/account/1768033824/", 1768033824)</f>
        <v>1768033824</v>
      </c>
      <c r="D4277">
        <v>1880.37</v>
      </c>
    </row>
    <row r="4278" spans="1:4" x14ac:dyDescent="0.25">
      <c r="A4278" t="s">
        <v>521</v>
      </c>
      <c r="B4278" t="s">
        <v>91</v>
      </c>
      <c r="C4278" s="2">
        <f>HYPERLINK("https://svao.dolgi.msk.ru/account/1768033867/", 1768033867)</f>
        <v>1768033867</v>
      </c>
      <c r="D4278">
        <v>678.5</v>
      </c>
    </row>
    <row r="4279" spans="1:4" x14ac:dyDescent="0.25">
      <c r="A4279" t="s">
        <v>521</v>
      </c>
      <c r="B4279" t="s">
        <v>10</v>
      </c>
      <c r="C4279" s="2">
        <f>HYPERLINK("https://svao.dolgi.msk.ru/account/1768033875/", 1768033875)</f>
        <v>1768033875</v>
      </c>
      <c r="D4279">
        <v>3545.26</v>
      </c>
    </row>
    <row r="4280" spans="1:4" x14ac:dyDescent="0.25">
      <c r="A4280" t="s">
        <v>521</v>
      </c>
      <c r="B4280" t="s">
        <v>219</v>
      </c>
      <c r="C4280" s="2">
        <f>HYPERLINK("https://svao.dolgi.msk.ru/account/1768033883/", 1768033883)</f>
        <v>1768033883</v>
      </c>
      <c r="D4280">
        <v>2572.69</v>
      </c>
    </row>
    <row r="4281" spans="1:4" x14ac:dyDescent="0.25">
      <c r="A4281" t="s">
        <v>521</v>
      </c>
      <c r="B4281" t="s">
        <v>107</v>
      </c>
      <c r="C4281" s="2">
        <f>HYPERLINK("https://svao.dolgi.msk.ru/account/1768033955/", 1768033955)</f>
        <v>1768033955</v>
      </c>
      <c r="D4281">
        <v>3410.44</v>
      </c>
    </row>
    <row r="4282" spans="1:4" x14ac:dyDescent="0.25">
      <c r="A4282" t="s">
        <v>521</v>
      </c>
      <c r="B4282" t="s">
        <v>15</v>
      </c>
      <c r="C4282" s="2">
        <f>HYPERLINK("https://svao.dolgi.msk.ru/account/1768033963/", 1768033963)</f>
        <v>1768033963</v>
      </c>
      <c r="D4282">
        <v>515.78</v>
      </c>
    </row>
    <row r="4283" spans="1:4" x14ac:dyDescent="0.25">
      <c r="A4283" t="s">
        <v>521</v>
      </c>
      <c r="B4283" t="s">
        <v>109</v>
      </c>
      <c r="C4283" s="2">
        <f>HYPERLINK("https://svao.dolgi.msk.ru/account/1768034042/", 1768034042)</f>
        <v>1768034042</v>
      </c>
      <c r="D4283">
        <v>551.87</v>
      </c>
    </row>
    <row r="4284" spans="1:4" x14ac:dyDescent="0.25">
      <c r="A4284" t="s">
        <v>521</v>
      </c>
      <c r="B4284" t="s">
        <v>110</v>
      </c>
      <c r="C4284" s="2">
        <f>HYPERLINK("https://svao.dolgi.msk.ru/account/1768034069/", 1768034069)</f>
        <v>1768034069</v>
      </c>
      <c r="D4284">
        <v>106.24</v>
      </c>
    </row>
    <row r="4285" spans="1:4" x14ac:dyDescent="0.25">
      <c r="A4285" t="s">
        <v>521</v>
      </c>
      <c r="B4285" t="s">
        <v>111</v>
      </c>
      <c r="C4285" s="2">
        <f>HYPERLINK("https://svao.dolgi.msk.ru/account/1768034093/", 1768034093)</f>
        <v>1768034093</v>
      </c>
      <c r="D4285">
        <v>2128.46</v>
      </c>
    </row>
    <row r="4286" spans="1:4" x14ac:dyDescent="0.25">
      <c r="A4286" t="s">
        <v>521</v>
      </c>
      <c r="B4286" t="s">
        <v>21</v>
      </c>
      <c r="C4286" s="2">
        <f>HYPERLINK("https://svao.dolgi.msk.ru/account/1768034149/", 1768034149)</f>
        <v>1768034149</v>
      </c>
      <c r="D4286">
        <v>1150.25</v>
      </c>
    </row>
    <row r="4287" spans="1:4" x14ac:dyDescent="0.25">
      <c r="A4287" t="s">
        <v>521</v>
      </c>
      <c r="B4287" t="s">
        <v>77</v>
      </c>
      <c r="C4287" s="2">
        <f>HYPERLINK("https://svao.dolgi.msk.ru/account/1768034157/", 1768034157)</f>
        <v>1768034157</v>
      </c>
      <c r="D4287">
        <v>18378.34</v>
      </c>
    </row>
    <row r="4288" spans="1:4" x14ac:dyDescent="0.25">
      <c r="A4288" t="s">
        <v>521</v>
      </c>
      <c r="B4288" t="s">
        <v>79</v>
      </c>
      <c r="C4288" s="2">
        <f>HYPERLINK("https://svao.dolgi.msk.ru/account/1768034202/", 1768034202)</f>
        <v>1768034202</v>
      </c>
      <c r="D4288">
        <v>2215.33</v>
      </c>
    </row>
    <row r="4289" spans="1:4" x14ac:dyDescent="0.25">
      <c r="A4289" t="s">
        <v>522</v>
      </c>
      <c r="B4289" t="s">
        <v>41</v>
      </c>
      <c r="C4289" s="2">
        <f>HYPERLINK("https://svao.dolgi.msk.ru/account/1768044849/", 1768044849)</f>
        <v>1768044849</v>
      </c>
      <c r="D4289">
        <v>10810.99</v>
      </c>
    </row>
    <row r="4290" spans="1:4" x14ac:dyDescent="0.25">
      <c r="A4290" t="s">
        <v>522</v>
      </c>
      <c r="B4290" t="s">
        <v>5</v>
      </c>
      <c r="C4290" s="2">
        <f>HYPERLINK("https://svao.dolgi.msk.ru/account/1768044857/", 1768044857)</f>
        <v>1768044857</v>
      </c>
      <c r="D4290">
        <v>1328.82</v>
      </c>
    </row>
    <row r="4291" spans="1:4" x14ac:dyDescent="0.25">
      <c r="A4291" t="s">
        <v>522</v>
      </c>
      <c r="B4291" t="s">
        <v>7</v>
      </c>
      <c r="C4291" s="2">
        <f>HYPERLINK("https://svao.dolgi.msk.ru/account/1760264898/", 1760264898)</f>
        <v>1760264898</v>
      </c>
      <c r="D4291">
        <v>1186.0899999999999</v>
      </c>
    </row>
    <row r="4292" spans="1:4" x14ac:dyDescent="0.25">
      <c r="A4292" t="s">
        <v>522</v>
      </c>
      <c r="B4292" t="s">
        <v>141</v>
      </c>
      <c r="C4292" s="2">
        <f>HYPERLINK("https://svao.dolgi.msk.ru/account/1768044881/", 1768044881)</f>
        <v>1768044881</v>
      </c>
      <c r="D4292">
        <v>1633.02</v>
      </c>
    </row>
    <row r="4293" spans="1:4" x14ac:dyDescent="0.25">
      <c r="A4293" t="s">
        <v>522</v>
      </c>
      <c r="B4293" t="s">
        <v>103</v>
      </c>
      <c r="C4293" s="2">
        <f>HYPERLINK("https://svao.dolgi.msk.ru/account/1768044929/", 1768044929)</f>
        <v>1768044929</v>
      </c>
      <c r="D4293">
        <v>1750.75</v>
      </c>
    </row>
    <row r="4294" spans="1:4" x14ac:dyDescent="0.25">
      <c r="A4294" t="s">
        <v>522</v>
      </c>
      <c r="B4294" t="s">
        <v>74</v>
      </c>
      <c r="C4294" s="2">
        <f>HYPERLINK("https://svao.dolgi.msk.ru/account/1768044961/", 1768044961)</f>
        <v>1768044961</v>
      </c>
      <c r="D4294">
        <v>3715.63</v>
      </c>
    </row>
    <row r="4295" spans="1:4" x14ac:dyDescent="0.25">
      <c r="A4295" t="s">
        <v>522</v>
      </c>
      <c r="B4295" t="s">
        <v>137</v>
      </c>
      <c r="C4295" s="2">
        <f>HYPERLINK("https://svao.dolgi.msk.ru/account/1768026413/", 1768026413)</f>
        <v>1768026413</v>
      </c>
      <c r="D4295">
        <v>1012.56</v>
      </c>
    </row>
    <row r="4296" spans="1:4" x14ac:dyDescent="0.25">
      <c r="A4296" t="s">
        <v>522</v>
      </c>
      <c r="B4296" t="s">
        <v>9</v>
      </c>
      <c r="C4296" s="2">
        <f>HYPERLINK("https://svao.dolgi.msk.ru/account/1768044988/", 1768044988)</f>
        <v>1768044988</v>
      </c>
      <c r="D4296">
        <v>2953.44</v>
      </c>
    </row>
    <row r="4297" spans="1:4" x14ac:dyDescent="0.25">
      <c r="A4297" t="s">
        <v>522</v>
      </c>
      <c r="B4297" t="s">
        <v>75</v>
      </c>
      <c r="C4297" s="2">
        <f>HYPERLINK("https://svao.dolgi.msk.ru/account/1768044996/", 1768044996)</f>
        <v>1768044996</v>
      </c>
      <c r="D4297">
        <v>2594.52</v>
      </c>
    </row>
    <row r="4298" spans="1:4" x14ac:dyDescent="0.25">
      <c r="A4298" t="s">
        <v>522</v>
      </c>
      <c r="B4298" t="s">
        <v>219</v>
      </c>
      <c r="C4298" s="2">
        <f>HYPERLINK("https://svao.dolgi.msk.ru/account/1768045024/", 1768045024)</f>
        <v>1768045024</v>
      </c>
      <c r="D4298">
        <v>1393.03</v>
      </c>
    </row>
    <row r="4299" spans="1:4" x14ac:dyDescent="0.25">
      <c r="A4299" t="s">
        <v>522</v>
      </c>
      <c r="B4299" t="s">
        <v>11</v>
      </c>
      <c r="C4299" s="2">
        <f>HYPERLINK("https://svao.dolgi.msk.ru/account/1768045032/", 1768045032)</f>
        <v>1768045032</v>
      </c>
      <c r="D4299">
        <v>350.54</v>
      </c>
    </row>
    <row r="4300" spans="1:4" x14ac:dyDescent="0.25">
      <c r="A4300" t="s">
        <v>522</v>
      </c>
      <c r="B4300" t="s">
        <v>12</v>
      </c>
      <c r="C4300" s="2">
        <f>HYPERLINK("https://svao.dolgi.msk.ru/account/1768045059/", 1768045059)</f>
        <v>1768045059</v>
      </c>
      <c r="D4300">
        <v>33474.870000000003</v>
      </c>
    </row>
    <row r="4301" spans="1:4" x14ac:dyDescent="0.25">
      <c r="A4301" t="s">
        <v>522</v>
      </c>
      <c r="B4301" t="s">
        <v>14</v>
      </c>
      <c r="C4301" s="2">
        <f>HYPERLINK("https://svao.dolgi.msk.ru/account/1768045075/", 1768045075)</f>
        <v>1768045075</v>
      </c>
      <c r="D4301">
        <v>11068.6</v>
      </c>
    </row>
    <row r="4302" spans="1:4" x14ac:dyDescent="0.25">
      <c r="A4302" t="s">
        <v>522</v>
      </c>
      <c r="B4302" t="s">
        <v>107</v>
      </c>
      <c r="C4302" s="2">
        <f>HYPERLINK("https://svao.dolgi.msk.ru/account/1768045083/", 1768045083)</f>
        <v>1768045083</v>
      </c>
      <c r="D4302">
        <v>203.75</v>
      </c>
    </row>
    <row r="4303" spans="1:4" x14ac:dyDescent="0.25">
      <c r="A4303" t="s">
        <v>522</v>
      </c>
      <c r="B4303" t="s">
        <v>108</v>
      </c>
      <c r="C4303" s="2">
        <f>HYPERLINK("https://svao.dolgi.msk.ru/account/1768045091/", 1768045091)</f>
        <v>1768045091</v>
      </c>
      <c r="D4303">
        <v>10822.64</v>
      </c>
    </row>
    <row r="4304" spans="1:4" x14ac:dyDescent="0.25">
      <c r="A4304" t="s">
        <v>522</v>
      </c>
      <c r="B4304" t="s">
        <v>17</v>
      </c>
      <c r="C4304" s="2">
        <f>HYPERLINK("https://svao.dolgi.msk.ru/account/1768045112/", 1768045112)</f>
        <v>1768045112</v>
      </c>
      <c r="D4304">
        <v>148.91</v>
      </c>
    </row>
    <row r="4305" spans="1:4" x14ac:dyDescent="0.25">
      <c r="A4305" t="s">
        <v>522</v>
      </c>
      <c r="B4305" t="s">
        <v>18</v>
      </c>
      <c r="C4305" s="2">
        <f>HYPERLINK("https://svao.dolgi.msk.ru/account/1768045139/", 1768045139)</f>
        <v>1768045139</v>
      </c>
      <c r="D4305">
        <v>21819.02</v>
      </c>
    </row>
    <row r="4306" spans="1:4" x14ac:dyDescent="0.25">
      <c r="A4306" t="s">
        <v>522</v>
      </c>
      <c r="B4306" t="s">
        <v>20</v>
      </c>
      <c r="C4306" s="2">
        <f>HYPERLINK("https://svao.dolgi.msk.ru/account/1768045155/", 1768045155)</f>
        <v>1768045155</v>
      </c>
      <c r="D4306">
        <v>16779.72</v>
      </c>
    </row>
    <row r="4307" spans="1:4" x14ac:dyDescent="0.25">
      <c r="A4307" t="s">
        <v>522</v>
      </c>
      <c r="B4307" t="s">
        <v>76</v>
      </c>
      <c r="C4307" s="2">
        <f>HYPERLINK("https://svao.dolgi.msk.ru/account/1768045163/", 1768045163)</f>
        <v>1768045163</v>
      </c>
      <c r="D4307">
        <v>477.12</v>
      </c>
    </row>
    <row r="4308" spans="1:4" x14ac:dyDescent="0.25">
      <c r="A4308" t="s">
        <v>522</v>
      </c>
      <c r="B4308" t="s">
        <v>92</v>
      </c>
      <c r="C4308" s="2">
        <f>HYPERLINK("https://svao.dolgi.msk.ru/account/1768045171/", 1768045171)</f>
        <v>1768045171</v>
      </c>
      <c r="D4308">
        <v>19892.689999999999</v>
      </c>
    </row>
    <row r="4309" spans="1:4" x14ac:dyDescent="0.25">
      <c r="A4309" t="s">
        <v>522</v>
      </c>
      <c r="B4309" t="s">
        <v>93</v>
      </c>
      <c r="C4309" s="2">
        <f>HYPERLINK("https://svao.dolgi.msk.ru/account/1761790056/", 1761790056)</f>
        <v>1761790056</v>
      </c>
      <c r="D4309">
        <v>16788.21</v>
      </c>
    </row>
    <row r="4310" spans="1:4" x14ac:dyDescent="0.25">
      <c r="A4310" t="s">
        <v>522</v>
      </c>
      <c r="B4310" t="s">
        <v>93</v>
      </c>
      <c r="C4310" s="2">
        <f>HYPERLINK("https://svao.dolgi.msk.ru/account/1768045198/", 1768045198)</f>
        <v>1768045198</v>
      </c>
      <c r="D4310">
        <v>21853.23</v>
      </c>
    </row>
    <row r="4311" spans="1:4" x14ac:dyDescent="0.25">
      <c r="A4311" t="s">
        <v>522</v>
      </c>
      <c r="B4311" t="s">
        <v>112</v>
      </c>
      <c r="C4311" s="2">
        <f>HYPERLINK("https://svao.dolgi.msk.ru/account/1768004644/", 1768004644)</f>
        <v>1768004644</v>
      </c>
      <c r="D4311">
        <v>408.27</v>
      </c>
    </row>
    <row r="4312" spans="1:4" x14ac:dyDescent="0.25">
      <c r="A4312" t="s">
        <v>522</v>
      </c>
      <c r="B4312" t="s">
        <v>77</v>
      </c>
      <c r="C4312" s="2">
        <f>HYPERLINK("https://svao.dolgi.msk.ru/account/1768045251/", 1768045251)</f>
        <v>1768045251</v>
      </c>
      <c r="D4312">
        <v>824.91</v>
      </c>
    </row>
    <row r="4313" spans="1:4" x14ac:dyDescent="0.25">
      <c r="A4313" t="s">
        <v>522</v>
      </c>
      <c r="B4313" t="s">
        <v>114</v>
      </c>
      <c r="C4313" s="2">
        <f>HYPERLINK("https://svao.dolgi.msk.ru/account/1768045278/", 1768045278)</f>
        <v>1768045278</v>
      </c>
      <c r="D4313">
        <v>2762.66</v>
      </c>
    </row>
    <row r="4314" spans="1:4" x14ac:dyDescent="0.25">
      <c r="A4314" t="s">
        <v>522</v>
      </c>
      <c r="B4314" t="s">
        <v>78</v>
      </c>
      <c r="C4314" s="2">
        <f>HYPERLINK("https://svao.dolgi.msk.ru/account/1768045286/", 1768045286)</f>
        <v>1768045286</v>
      </c>
      <c r="D4314">
        <v>841.69</v>
      </c>
    </row>
    <row r="4315" spans="1:4" x14ac:dyDescent="0.25">
      <c r="A4315" t="s">
        <v>522</v>
      </c>
      <c r="B4315" t="s">
        <v>79</v>
      </c>
      <c r="C4315" s="2">
        <f>HYPERLINK("https://svao.dolgi.msk.ru/account/1768045307/", 1768045307)</f>
        <v>1768045307</v>
      </c>
      <c r="D4315">
        <v>1280.18</v>
      </c>
    </row>
    <row r="4316" spans="1:4" x14ac:dyDescent="0.25">
      <c r="A4316" t="s">
        <v>522</v>
      </c>
      <c r="B4316" t="s">
        <v>124</v>
      </c>
      <c r="C4316" s="2">
        <f>HYPERLINK("https://svao.dolgi.msk.ru/account/1768004601/", 1768004601)</f>
        <v>1768004601</v>
      </c>
      <c r="D4316">
        <v>684.27</v>
      </c>
    </row>
    <row r="4317" spans="1:4" x14ac:dyDescent="0.25">
      <c r="A4317" t="s">
        <v>522</v>
      </c>
      <c r="B4317" t="s">
        <v>117</v>
      </c>
      <c r="C4317" s="2">
        <f>HYPERLINK("https://svao.dolgi.msk.ru/account/1768045315/", 1768045315)</f>
        <v>1768045315</v>
      </c>
      <c r="D4317">
        <v>978.19</v>
      </c>
    </row>
    <row r="4318" spans="1:4" x14ac:dyDescent="0.25">
      <c r="A4318" t="s">
        <v>522</v>
      </c>
      <c r="B4318" t="s">
        <v>320</v>
      </c>
      <c r="C4318" s="2">
        <f>HYPERLINK("https://svao.dolgi.msk.ru/account/1768045331/", 1768045331)</f>
        <v>1768045331</v>
      </c>
      <c r="D4318">
        <v>705.26</v>
      </c>
    </row>
    <row r="4319" spans="1:4" x14ac:dyDescent="0.25">
      <c r="A4319" t="s">
        <v>522</v>
      </c>
      <c r="B4319" t="s">
        <v>24</v>
      </c>
      <c r="C4319" s="2">
        <f>HYPERLINK("https://svao.dolgi.msk.ru/account/1760265479/", 1760265479)</f>
        <v>1760265479</v>
      </c>
      <c r="D4319">
        <v>839.6</v>
      </c>
    </row>
    <row r="4320" spans="1:4" x14ac:dyDescent="0.25">
      <c r="A4320" t="s">
        <v>522</v>
      </c>
      <c r="B4320" t="s">
        <v>314</v>
      </c>
      <c r="C4320" s="2">
        <f>HYPERLINK("https://svao.dolgi.msk.ru/account/1768045366/", 1768045366)</f>
        <v>1768045366</v>
      </c>
      <c r="D4320">
        <v>228.82</v>
      </c>
    </row>
    <row r="4321" spans="1:4" x14ac:dyDescent="0.25">
      <c r="A4321" t="s">
        <v>522</v>
      </c>
      <c r="B4321" t="s">
        <v>242</v>
      </c>
      <c r="C4321" s="2">
        <f>HYPERLINK("https://svao.dolgi.msk.ru/account/1768045374/", 1768045374)</f>
        <v>1768045374</v>
      </c>
      <c r="D4321">
        <v>3363.96</v>
      </c>
    </row>
    <row r="4322" spans="1:4" x14ac:dyDescent="0.25">
      <c r="A4322" t="s">
        <v>522</v>
      </c>
      <c r="B4322" t="s">
        <v>95</v>
      </c>
      <c r="C4322" s="2">
        <f>HYPERLINK("https://svao.dolgi.msk.ru/account/1768045382/", 1768045382)</f>
        <v>1768045382</v>
      </c>
      <c r="D4322">
        <v>2895.09</v>
      </c>
    </row>
    <row r="4323" spans="1:4" x14ac:dyDescent="0.25">
      <c r="A4323" t="s">
        <v>522</v>
      </c>
      <c r="B4323" t="s">
        <v>131</v>
      </c>
      <c r="C4323" s="2">
        <f>HYPERLINK("https://svao.dolgi.msk.ru/account/1768004628/", 1768004628)</f>
        <v>1768004628</v>
      </c>
      <c r="D4323">
        <v>703.17</v>
      </c>
    </row>
    <row r="4324" spans="1:4" x14ac:dyDescent="0.25">
      <c r="A4324" t="s">
        <v>522</v>
      </c>
      <c r="B4324" t="s">
        <v>126</v>
      </c>
      <c r="C4324" s="2">
        <f>HYPERLINK("https://svao.dolgi.msk.ru/account/1768045411/", 1768045411)</f>
        <v>1768045411</v>
      </c>
      <c r="D4324">
        <v>841.03</v>
      </c>
    </row>
    <row r="4325" spans="1:4" x14ac:dyDescent="0.25">
      <c r="A4325" t="s">
        <v>522</v>
      </c>
      <c r="B4325" t="s">
        <v>80</v>
      </c>
      <c r="C4325" s="2">
        <f>HYPERLINK("https://svao.dolgi.msk.ru/account/1768045438/", 1768045438)</f>
        <v>1768045438</v>
      </c>
      <c r="D4325">
        <v>8959.6299999999992</v>
      </c>
    </row>
    <row r="4326" spans="1:4" x14ac:dyDescent="0.25">
      <c r="A4326" t="s">
        <v>522</v>
      </c>
      <c r="B4326" t="s">
        <v>127</v>
      </c>
      <c r="C4326" s="2">
        <f>HYPERLINK("https://svao.dolgi.msk.ru/account/1768045454/", 1768045454)</f>
        <v>1768045454</v>
      </c>
      <c r="D4326">
        <v>803.92</v>
      </c>
    </row>
    <row r="4327" spans="1:4" x14ac:dyDescent="0.25">
      <c r="A4327" t="s">
        <v>522</v>
      </c>
      <c r="B4327" t="s">
        <v>120</v>
      </c>
      <c r="C4327" s="2">
        <f>HYPERLINK("https://svao.dolgi.msk.ru/account/1768045497/", 1768045497)</f>
        <v>1768045497</v>
      </c>
      <c r="D4327">
        <v>2075.1</v>
      </c>
    </row>
    <row r="4328" spans="1:4" x14ac:dyDescent="0.25">
      <c r="A4328" t="s">
        <v>522</v>
      </c>
      <c r="B4328" t="s">
        <v>82</v>
      </c>
      <c r="C4328" s="2">
        <f>HYPERLINK("https://svao.dolgi.msk.ru/account/1768045518/", 1768045518)</f>
        <v>1768045518</v>
      </c>
      <c r="D4328">
        <v>41123.31</v>
      </c>
    </row>
    <row r="4329" spans="1:4" x14ac:dyDescent="0.25">
      <c r="A4329" t="s">
        <v>522</v>
      </c>
      <c r="B4329" t="s">
        <v>96</v>
      </c>
      <c r="C4329" s="2">
        <f>HYPERLINK("https://svao.dolgi.msk.ru/account/1768045542/", 1768045542)</f>
        <v>1768045542</v>
      </c>
      <c r="D4329">
        <v>10142.5</v>
      </c>
    </row>
    <row r="4330" spans="1:4" x14ac:dyDescent="0.25">
      <c r="A4330" t="s">
        <v>522</v>
      </c>
      <c r="B4330" t="s">
        <v>243</v>
      </c>
      <c r="C4330" s="2">
        <f>HYPERLINK("https://svao.dolgi.msk.ru/account/1768045585/", 1768045585)</f>
        <v>1768045585</v>
      </c>
      <c r="D4330">
        <v>4738.42</v>
      </c>
    </row>
    <row r="4331" spans="1:4" x14ac:dyDescent="0.25">
      <c r="A4331" t="s">
        <v>522</v>
      </c>
      <c r="B4331" t="s">
        <v>121</v>
      </c>
      <c r="C4331" s="2">
        <f>HYPERLINK("https://svao.dolgi.msk.ru/account/1768045593/", 1768045593)</f>
        <v>1768045593</v>
      </c>
      <c r="D4331">
        <v>1167.04</v>
      </c>
    </row>
    <row r="4332" spans="1:4" x14ac:dyDescent="0.25">
      <c r="A4332" t="s">
        <v>522</v>
      </c>
      <c r="B4332" t="s">
        <v>134</v>
      </c>
      <c r="C4332" s="2">
        <f>HYPERLINK("https://svao.dolgi.msk.ru/account/1768045606/", 1768045606)</f>
        <v>1768045606</v>
      </c>
      <c r="D4332">
        <v>267.43</v>
      </c>
    </row>
    <row r="4333" spans="1:4" x14ac:dyDescent="0.25">
      <c r="A4333" t="s">
        <v>522</v>
      </c>
      <c r="B4333" t="s">
        <v>28</v>
      </c>
      <c r="C4333" s="2">
        <f>HYPERLINK("https://svao.dolgi.msk.ru/account/1768045622/", 1768045622)</f>
        <v>1768045622</v>
      </c>
      <c r="D4333">
        <v>563.9</v>
      </c>
    </row>
    <row r="4334" spans="1:4" x14ac:dyDescent="0.25">
      <c r="A4334" t="s">
        <v>523</v>
      </c>
      <c r="B4334" t="s">
        <v>6</v>
      </c>
      <c r="C4334" s="2">
        <f>HYPERLINK("https://svao.dolgi.msk.ru/account/1760161733/", 1760161733)</f>
        <v>1760161733</v>
      </c>
      <c r="D4334">
        <v>7970.07</v>
      </c>
    </row>
    <row r="4335" spans="1:4" x14ac:dyDescent="0.25">
      <c r="A4335" t="s">
        <v>523</v>
      </c>
      <c r="B4335" t="s">
        <v>41</v>
      </c>
      <c r="C4335" s="2">
        <f>HYPERLINK("https://svao.dolgi.msk.ru/account/1760161741/", 1760161741)</f>
        <v>1760161741</v>
      </c>
      <c r="D4335">
        <v>5398.46</v>
      </c>
    </row>
    <row r="4336" spans="1:4" x14ac:dyDescent="0.25">
      <c r="A4336" t="s">
        <v>523</v>
      </c>
      <c r="B4336" t="s">
        <v>5</v>
      </c>
      <c r="C4336" s="2">
        <f>HYPERLINK("https://svao.dolgi.msk.ru/account/1760161768/", 1760161768)</f>
        <v>1760161768</v>
      </c>
      <c r="D4336">
        <v>4649.45</v>
      </c>
    </row>
    <row r="4337" spans="1:4" x14ac:dyDescent="0.25">
      <c r="A4337" t="s">
        <v>523</v>
      </c>
      <c r="B4337" t="s">
        <v>101</v>
      </c>
      <c r="C4337" s="2">
        <f>HYPERLINK("https://svao.dolgi.msk.ru/account/1760161792/", 1760161792)</f>
        <v>1760161792</v>
      </c>
      <c r="D4337">
        <v>5740.31</v>
      </c>
    </row>
    <row r="4338" spans="1:4" x14ac:dyDescent="0.25">
      <c r="A4338" t="s">
        <v>523</v>
      </c>
      <c r="B4338" t="s">
        <v>141</v>
      </c>
      <c r="C4338" s="2">
        <f>HYPERLINK("https://svao.dolgi.msk.ru/account/1760161821/", 1760161821)</f>
        <v>1760161821</v>
      </c>
      <c r="D4338">
        <v>7708.37</v>
      </c>
    </row>
    <row r="4339" spans="1:4" x14ac:dyDescent="0.25">
      <c r="A4339" t="s">
        <v>523</v>
      </c>
      <c r="B4339" t="s">
        <v>524</v>
      </c>
      <c r="C4339" s="2">
        <f>HYPERLINK("https://svao.dolgi.msk.ru/account/1760162111/", 1760162111)</f>
        <v>1760162111</v>
      </c>
      <c r="D4339">
        <v>8928.5300000000007</v>
      </c>
    </row>
    <row r="4340" spans="1:4" x14ac:dyDescent="0.25">
      <c r="A4340" t="s">
        <v>523</v>
      </c>
      <c r="B4340" t="s">
        <v>524</v>
      </c>
      <c r="C4340" s="2">
        <f>HYPERLINK("https://svao.dolgi.msk.ru/account/1761811013/", 1761811013)</f>
        <v>1761811013</v>
      </c>
      <c r="D4340">
        <v>17080.23</v>
      </c>
    </row>
    <row r="4341" spans="1:4" x14ac:dyDescent="0.25">
      <c r="A4341" t="s">
        <v>523</v>
      </c>
      <c r="B4341" t="s">
        <v>524</v>
      </c>
      <c r="C4341" s="2">
        <f>HYPERLINK("https://svao.dolgi.msk.ru/account/1761811021/", 1761811021)</f>
        <v>1761811021</v>
      </c>
      <c r="D4341">
        <v>66360.23</v>
      </c>
    </row>
    <row r="4342" spans="1:4" x14ac:dyDescent="0.25">
      <c r="A4342" t="s">
        <v>523</v>
      </c>
      <c r="B4342" t="s">
        <v>525</v>
      </c>
      <c r="C4342" s="2">
        <f>HYPERLINK("https://svao.dolgi.msk.ru/account/1760162146/", 1760162146)</f>
        <v>1760162146</v>
      </c>
      <c r="D4342">
        <v>3869.55</v>
      </c>
    </row>
    <row r="4343" spans="1:4" x14ac:dyDescent="0.25">
      <c r="A4343" t="s">
        <v>523</v>
      </c>
      <c r="B4343" t="s">
        <v>106</v>
      </c>
      <c r="C4343" s="2">
        <f>HYPERLINK("https://svao.dolgi.msk.ru/account/1760162154/", 1760162154)</f>
        <v>1760162154</v>
      </c>
      <c r="D4343">
        <v>13394.09</v>
      </c>
    </row>
    <row r="4344" spans="1:4" x14ac:dyDescent="0.25">
      <c r="A4344" t="s">
        <v>523</v>
      </c>
      <c r="B4344" t="s">
        <v>17</v>
      </c>
      <c r="C4344" s="2">
        <f>HYPERLINK("https://svao.dolgi.msk.ru/account/1760162234/", 1760162234)</f>
        <v>1760162234</v>
      </c>
      <c r="D4344">
        <v>8208.44</v>
      </c>
    </row>
    <row r="4345" spans="1:4" x14ac:dyDescent="0.25">
      <c r="A4345" t="s">
        <v>523</v>
      </c>
      <c r="B4345" t="s">
        <v>19</v>
      </c>
      <c r="C4345" s="2">
        <f>HYPERLINK("https://svao.dolgi.msk.ru/account/1760162269/", 1760162269)</f>
        <v>1760162269</v>
      </c>
      <c r="D4345">
        <v>10987.35</v>
      </c>
    </row>
    <row r="4346" spans="1:4" x14ac:dyDescent="0.25">
      <c r="A4346" t="s">
        <v>523</v>
      </c>
      <c r="B4346" t="s">
        <v>76</v>
      </c>
      <c r="C4346" s="2">
        <f>HYPERLINK("https://svao.dolgi.msk.ru/account/1760162306/", 1760162306)</f>
        <v>1760162306</v>
      </c>
      <c r="D4346">
        <v>11045.96</v>
      </c>
    </row>
    <row r="4347" spans="1:4" x14ac:dyDescent="0.25">
      <c r="A4347" t="s">
        <v>523</v>
      </c>
      <c r="B4347" t="s">
        <v>92</v>
      </c>
      <c r="C4347" s="2">
        <f>HYPERLINK("https://svao.dolgi.msk.ru/account/1760162322/", 1760162322)</f>
        <v>1760162322</v>
      </c>
      <c r="D4347">
        <v>1436.08</v>
      </c>
    </row>
    <row r="4348" spans="1:4" x14ac:dyDescent="0.25">
      <c r="A4348" t="s">
        <v>523</v>
      </c>
      <c r="B4348" t="s">
        <v>94</v>
      </c>
      <c r="C4348" s="2">
        <f>HYPERLINK("https://svao.dolgi.msk.ru/account/1760162365/", 1760162365)</f>
        <v>1760162365</v>
      </c>
      <c r="D4348">
        <v>4181.45</v>
      </c>
    </row>
    <row r="4349" spans="1:4" x14ac:dyDescent="0.25">
      <c r="A4349" t="s">
        <v>523</v>
      </c>
      <c r="B4349" t="s">
        <v>526</v>
      </c>
      <c r="C4349" s="2">
        <f>HYPERLINK("https://svao.dolgi.msk.ru/account/1760162453/", 1760162453)</f>
        <v>1760162453</v>
      </c>
      <c r="D4349">
        <v>20535.77</v>
      </c>
    </row>
    <row r="4350" spans="1:4" x14ac:dyDescent="0.25">
      <c r="A4350" t="s">
        <v>523</v>
      </c>
      <c r="B4350" t="s">
        <v>22</v>
      </c>
      <c r="C4350" s="2">
        <f>HYPERLINK("https://svao.dolgi.msk.ru/account/1760162496/", 1760162496)</f>
        <v>1760162496</v>
      </c>
      <c r="D4350">
        <v>19534.189999999999</v>
      </c>
    </row>
    <row r="4351" spans="1:4" x14ac:dyDescent="0.25">
      <c r="A4351" t="s">
        <v>523</v>
      </c>
      <c r="B4351" t="s">
        <v>79</v>
      </c>
      <c r="C4351" s="2">
        <f>HYPERLINK("https://svao.dolgi.msk.ru/account/1760162509/", 1760162509)</f>
        <v>1760162509</v>
      </c>
      <c r="D4351">
        <v>223.35</v>
      </c>
    </row>
    <row r="4352" spans="1:4" x14ac:dyDescent="0.25">
      <c r="A4352" t="s">
        <v>523</v>
      </c>
      <c r="B4352" t="s">
        <v>124</v>
      </c>
      <c r="C4352" s="2">
        <f>HYPERLINK("https://svao.dolgi.msk.ru/account/1760162568/", 1760162568)</f>
        <v>1760162568</v>
      </c>
      <c r="D4352">
        <v>27852.720000000001</v>
      </c>
    </row>
    <row r="4353" spans="1:4" x14ac:dyDescent="0.25">
      <c r="A4353" t="s">
        <v>523</v>
      </c>
      <c r="B4353" t="s">
        <v>320</v>
      </c>
      <c r="C4353" s="2">
        <f>HYPERLINK("https://svao.dolgi.msk.ru/account/1760162592/", 1760162592)</f>
        <v>1760162592</v>
      </c>
      <c r="D4353">
        <v>8962.98</v>
      </c>
    </row>
    <row r="4354" spans="1:4" x14ac:dyDescent="0.25">
      <c r="A4354" t="s">
        <v>523</v>
      </c>
      <c r="B4354" t="s">
        <v>95</v>
      </c>
      <c r="C4354" s="2">
        <f>HYPERLINK("https://svao.dolgi.msk.ru/account/1760162648/", 1760162648)</f>
        <v>1760162648</v>
      </c>
      <c r="D4354">
        <v>14370.66</v>
      </c>
    </row>
    <row r="4355" spans="1:4" x14ac:dyDescent="0.25">
      <c r="A4355" t="s">
        <v>523</v>
      </c>
      <c r="B4355" t="s">
        <v>118</v>
      </c>
      <c r="C4355" s="2">
        <f>HYPERLINK("https://svao.dolgi.msk.ru/account/1760162701/", 1760162701)</f>
        <v>1760162701</v>
      </c>
      <c r="D4355">
        <v>12259.87</v>
      </c>
    </row>
    <row r="4356" spans="1:4" x14ac:dyDescent="0.25">
      <c r="A4356" t="s">
        <v>523</v>
      </c>
      <c r="B4356" t="s">
        <v>127</v>
      </c>
      <c r="C4356" s="2">
        <f>HYPERLINK("https://svao.dolgi.msk.ru/account/1760162728/", 1760162728)</f>
        <v>1760162728</v>
      </c>
      <c r="D4356">
        <v>9253.2000000000007</v>
      </c>
    </row>
    <row r="4357" spans="1:4" x14ac:dyDescent="0.25">
      <c r="A4357" t="s">
        <v>523</v>
      </c>
      <c r="B4357" t="s">
        <v>119</v>
      </c>
      <c r="C4357" s="2">
        <f>HYPERLINK("https://svao.dolgi.msk.ru/account/1760162744/", 1760162744)</f>
        <v>1760162744</v>
      </c>
      <c r="D4357">
        <v>6581.66</v>
      </c>
    </row>
    <row r="4358" spans="1:4" x14ac:dyDescent="0.25">
      <c r="A4358" t="s">
        <v>523</v>
      </c>
      <c r="B4358" t="s">
        <v>527</v>
      </c>
      <c r="C4358" s="2">
        <f>HYPERLINK("https://svao.dolgi.msk.ru/account/1760162787/", 1760162787)</f>
        <v>1760162787</v>
      </c>
      <c r="D4358">
        <v>6522.27</v>
      </c>
    </row>
    <row r="4359" spans="1:4" x14ac:dyDescent="0.25">
      <c r="A4359" t="s">
        <v>523</v>
      </c>
      <c r="B4359" t="s">
        <v>82</v>
      </c>
      <c r="C4359" s="2">
        <f>HYPERLINK("https://svao.dolgi.msk.ru/account/1760162795/", 1760162795)</f>
        <v>1760162795</v>
      </c>
      <c r="D4359">
        <v>8568.2800000000007</v>
      </c>
    </row>
    <row r="4360" spans="1:4" x14ac:dyDescent="0.25">
      <c r="A4360" t="s">
        <v>523</v>
      </c>
      <c r="B4360" t="s">
        <v>128</v>
      </c>
      <c r="C4360" s="2">
        <f>HYPERLINK("https://svao.dolgi.msk.ru/account/1760162816/", 1760162816)</f>
        <v>1760162816</v>
      </c>
      <c r="D4360">
        <v>8585.16</v>
      </c>
    </row>
    <row r="4361" spans="1:4" x14ac:dyDescent="0.25">
      <c r="A4361" t="s">
        <v>523</v>
      </c>
      <c r="B4361" t="s">
        <v>528</v>
      </c>
      <c r="C4361" s="2">
        <f>HYPERLINK("https://svao.dolgi.msk.ru/account/1760162824/", 1760162824)</f>
        <v>1760162824</v>
      </c>
      <c r="D4361">
        <v>3315.28</v>
      </c>
    </row>
    <row r="4362" spans="1:4" x14ac:dyDescent="0.25">
      <c r="A4362" t="s">
        <v>529</v>
      </c>
      <c r="B4362" t="s">
        <v>5</v>
      </c>
      <c r="C4362" s="2">
        <f>HYPERLINK("https://svao.dolgi.msk.ru/account/1768032661/", 1768032661)</f>
        <v>1768032661</v>
      </c>
      <c r="D4362">
        <v>743.05</v>
      </c>
    </row>
    <row r="4363" spans="1:4" x14ac:dyDescent="0.25">
      <c r="A4363" t="s">
        <v>529</v>
      </c>
      <c r="B4363" t="s">
        <v>102</v>
      </c>
      <c r="C4363" s="2">
        <f>HYPERLINK("https://svao.dolgi.msk.ru/account/1768032717/", 1768032717)</f>
        <v>1768032717</v>
      </c>
      <c r="D4363">
        <v>540.54</v>
      </c>
    </row>
    <row r="4364" spans="1:4" x14ac:dyDescent="0.25">
      <c r="A4364" t="s">
        <v>529</v>
      </c>
      <c r="B4364" t="s">
        <v>73</v>
      </c>
      <c r="C4364" s="2">
        <f>HYPERLINK("https://svao.dolgi.msk.ru/account/1768032725/", 1768032725)</f>
        <v>1768032725</v>
      </c>
      <c r="D4364">
        <v>159.16</v>
      </c>
    </row>
    <row r="4365" spans="1:4" x14ac:dyDescent="0.25">
      <c r="A4365" t="s">
        <v>529</v>
      </c>
      <c r="B4365" t="s">
        <v>104</v>
      </c>
      <c r="C4365" s="2">
        <f>HYPERLINK("https://svao.dolgi.msk.ru/account/1768032733/", 1768032733)</f>
        <v>1768032733</v>
      </c>
      <c r="D4365">
        <v>498.05</v>
      </c>
    </row>
    <row r="4366" spans="1:4" x14ac:dyDescent="0.25">
      <c r="A4366" t="s">
        <v>529</v>
      </c>
      <c r="B4366" t="s">
        <v>74</v>
      </c>
      <c r="C4366" s="2">
        <f>HYPERLINK("https://svao.dolgi.msk.ru/account/1768032768/", 1768032768)</f>
        <v>1768032768</v>
      </c>
      <c r="D4366">
        <v>226.76</v>
      </c>
    </row>
    <row r="4367" spans="1:4" x14ac:dyDescent="0.25">
      <c r="A4367" t="s">
        <v>529</v>
      </c>
      <c r="B4367" t="s">
        <v>9</v>
      </c>
      <c r="C4367" s="2">
        <f>HYPERLINK("https://svao.dolgi.msk.ru/account/1768032784/", 1768032784)</f>
        <v>1768032784</v>
      </c>
      <c r="D4367">
        <v>45128.93</v>
      </c>
    </row>
    <row r="4368" spans="1:4" x14ac:dyDescent="0.25">
      <c r="A4368" t="s">
        <v>529</v>
      </c>
      <c r="B4368" t="s">
        <v>11</v>
      </c>
      <c r="C4368" s="2">
        <f>HYPERLINK("https://svao.dolgi.msk.ru/account/1768000475/", 1768000475)</f>
        <v>1768000475</v>
      </c>
      <c r="D4368">
        <v>2862.04</v>
      </c>
    </row>
    <row r="4369" spans="1:4" x14ac:dyDescent="0.25">
      <c r="A4369" t="s">
        <v>529</v>
      </c>
      <c r="B4369" t="s">
        <v>12</v>
      </c>
      <c r="C4369" s="2">
        <f>HYPERLINK("https://svao.dolgi.msk.ru/account/1768032821/", 1768032821)</f>
        <v>1768032821</v>
      </c>
      <c r="D4369">
        <v>6239.95</v>
      </c>
    </row>
    <row r="4370" spans="1:4" x14ac:dyDescent="0.25">
      <c r="A4370" t="s">
        <v>529</v>
      </c>
      <c r="B4370" t="s">
        <v>13</v>
      </c>
      <c r="C4370" s="2">
        <f>HYPERLINK("https://svao.dolgi.msk.ru/account/1761790195/", 1761790195)</f>
        <v>1761790195</v>
      </c>
      <c r="D4370">
        <v>458.28</v>
      </c>
    </row>
    <row r="4371" spans="1:4" x14ac:dyDescent="0.25">
      <c r="A4371" t="s">
        <v>529</v>
      </c>
      <c r="B4371" t="s">
        <v>14</v>
      </c>
      <c r="C4371" s="2">
        <f>HYPERLINK("https://svao.dolgi.msk.ru/account/1768032856/", 1768032856)</f>
        <v>1768032856</v>
      </c>
      <c r="D4371">
        <v>272.99</v>
      </c>
    </row>
    <row r="4372" spans="1:4" x14ac:dyDescent="0.25">
      <c r="A4372" t="s">
        <v>529</v>
      </c>
      <c r="B4372" t="s">
        <v>106</v>
      </c>
      <c r="C4372" s="2">
        <f>HYPERLINK("https://svao.dolgi.msk.ru/account/1768032864/", 1768032864)</f>
        <v>1768032864</v>
      </c>
      <c r="D4372">
        <v>1619.98</v>
      </c>
    </row>
    <row r="4373" spans="1:4" x14ac:dyDescent="0.25">
      <c r="A4373" t="s">
        <v>529</v>
      </c>
      <c r="B4373" t="s">
        <v>107</v>
      </c>
      <c r="C4373" s="2">
        <f>HYPERLINK("https://svao.dolgi.msk.ru/account/1768032872/", 1768032872)</f>
        <v>1768032872</v>
      </c>
      <c r="D4373">
        <v>866.89</v>
      </c>
    </row>
    <row r="4374" spans="1:4" x14ac:dyDescent="0.25">
      <c r="A4374" t="s">
        <v>529</v>
      </c>
      <c r="B4374" t="s">
        <v>108</v>
      </c>
      <c r="C4374" s="2">
        <f>HYPERLINK("https://svao.dolgi.msk.ru/account/1768000491/", 1768000491)</f>
        <v>1768000491</v>
      </c>
      <c r="D4374">
        <v>961.86</v>
      </c>
    </row>
    <row r="4375" spans="1:4" x14ac:dyDescent="0.25">
      <c r="A4375" t="s">
        <v>529</v>
      </c>
      <c r="B4375" t="s">
        <v>19</v>
      </c>
      <c r="C4375" s="2">
        <f>HYPERLINK("https://svao.dolgi.msk.ru/account/1768000483/", 1768000483)</f>
        <v>1768000483</v>
      </c>
      <c r="D4375">
        <v>29066.69</v>
      </c>
    </row>
    <row r="4376" spans="1:4" x14ac:dyDescent="0.25">
      <c r="A4376" t="s">
        <v>529</v>
      </c>
      <c r="B4376" t="s">
        <v>109</v>
      </c>
      <c r="C4376" s="2">
        <f>HYPERLINK("https://svao.dolgi.msk.ru/account/1768032944/", 1768032944)</f>
        <v>1768032944</v>
      </c>
      <c r="D4376">
        <v>1979.18</v>
      </c>
    </row>
    <row r="4377" spans="1:4" x14ac:dyDescent="0.25">
      <c r="A4377" t="s">
        <v>529</v>
      </c>
      <c r="B4377" t="s">
        <v>78</v>
      </c>
      <c r="C4377" s="2">
        <f>HYPERLINK("https://svao.dolgi.msk.ru/account/1768026368/", 1768026368)</f>
        <v>1768026368</v>
      </c>
      <c r="D4377">
        <v>831.56</v>
      </c>
    </row>
    <row r="4378" spans="1:4" x14ac:dyDescent="0.25">
      <c r="A4378" t="s">
        <v>529</v>
      </c>
      <c r="B4378" t="s">
        <v>23</v>
      </c>
      <c r="C4378" s="2">
        <f>HYPERLINK("https://svao.dolgi.msk.ru/account/1768033111/", 1768033111)</f>
        <v>1768033111</v>
      </c>
      <c r="D4378">
        <v>343.7</v>
      </c>
    </row>
    <row r="4379" spans="1:4" x14ac:dyDescent="0.25">
      <c r="A4379" t="s">
        <v>529</v>
      </c>
      <c r="B4379" t="s">
        <v>117</v>
      </c>
      <c r="C4379" s="2">
        <f>HYPERLINK("https://svao.dolgi.msk.ru/account/1768033146/", 1768033146)</f>
        <v>1768033146</v>
      </c>
      <c r="D4379">
        <v>255.64</v>
      </c>
    </row>
    <row r="4380" spans="1:4" x14ac:dyDescent="0.25">
      <c r="A4380" t="s">
        <v>529</v>
      </c>
      <c r="B4380" t="s">
        <v>115</v>
      </c>
      <c r="C4380" s="2">
        <f>HYPERLINK("https://svao.dolgi.msk.ru/account/1768033154/", 1768033154)</f>
        <v>1768033154</v>
      </c>
      <c r="D4380">
        <v>489.54</v>
      </c>
    </row>
    <row r="4381" spans="1:4" x14ac:dyDescent="0.25">
      <c r="A4381" t="s">
        <v>529</v>
      </c>
      <c r="B4381" t="s">
        <v>242</v>
      </c>
      <c r="C4381" s="2">
        <f>HYPERLINK("https://svao.dolgi.msk.ru/account/1768033218/", 1768033218)</f>
        <v>1768033218</v>
      </c>
      <c r="D4381">
        <v>676.63</v>
      </c>
    </row>
    <row r="4382" spans="1:4" x14ac:dyDescent="0.25">
      <c r="A4382" t="s">
        <v>529</v>
      </c>
      <c r="B4382" t="s">
        <v>131</v>
      </c>
      <c r="C4382" s="2">
        <f>HYPERLINK("https://svao.dolgi.msk.ru/account/1768033234/", 1768033234)</f>
        <v>1768033234</v>
      </c>
      <c r="D4382">
        <v>1004.61</v>
      </c>
    </row>
    <row r="4383" spans="1:4" x14ac:dyDescent="0.25">
      <c r="A4383" t="s">
        <v>529</v>
      </c>
      <c r="B4383" t="s">
        <v>80</v>
      </c>
      <c r="C4383" s="2">
        <f>HYPERLINK("https://svao.dolgi.msk.ru/account/1768033277/", 1768033277)</f>
        <v>1768033277</v>
      </c>
      <c r="D4383">
        <v>179.54</v>
      </c>
    </row>
    <row r="4384" spans="1:4" x14ac:dyDescent="0.25">
      <c r="A4384" t="s">
        <v>529</v>
      </c>
      <c r="B4384" t="s">
        <v>127</v>
      </c>
      <c r="C4384" s="2">
        <f>HYPERLINK("https://svao.dolgi.msk.ru/account/1768000424/", 1768000424)</f>
        <v>1768000424</v>
      </c>
      <c r="D4384">
        <v>538.91</v>
      </c>
    </row>
    <row r="4385" spans="1:4" x14ac:dyDescent="0.25">
      <c r="A4385" t="s">
        <v>529</v>
      </c>
      <c r="B4385" t="s">
        <v>25</v>
      </c>
      <c r="C4385" s="2">
        <f>HYPERLINK("https://svao.dolgi.msk.ru/account/1768033349/", 1768033349)</f>
        <v>1768033349</v>
      </c>
      <c r="D4385">
        <v>170.07</v>
      </c>
    </row>
    <row r="4386" spans="1:4" x14ac:dyDescent="0.25">
      <c r="A4386" t="s">
        <v>529</v>
      </c>
      <c r="B4386" t="s">
        <v>96</v>
      </c>
      <c r="C4386" s="2">
        <f>HYPERLINK("https://svao.dolgi.msk.ru/account/1768033381/", 1768033381)</f>
        <v>1768033381</v>
      </c>
      <c r="D4386">
        <v>399.73</v>
      </c>
    </row>
    <row r="4387" spans="1:4" x14ac:dyDescent="0.25">
      <c r="A4387" t="s">
        <v>529</v>
      </c>
      <c r="B4387" t="s">
        <v>121</v>
      </c>
      <c r="C4387" s="2">
        <f>HYPERLINK("https://svao.dolgi.msk.ru/account/1768033445/", 1768033445)</f>
        <v>1768033445</v>
      </c>
      <c r="D4387">
        <v>890.86</v>
      </c>
    </row>
    <row r="4388" spans="1:4" x14ac:dyDescent="0.25">
      <c r="A4388" t="s">
        <v>529</v>
      </c>
      <c r="B4388" t="s">
        <v>134</v>
      </c>
      <c r="C4388" s="2">
        <f>HYPERLINK("https://svao.dolgi.msk.ru/account/1768033453/", 1768033453)</f>
        <v>1768033453</v>
      </c>
      <c r="D4388">
        <v>2051.88</v>
      </c>
    </row>
    <row r="4389" spans="1:4" x14ac:dyDescent="0.25">
      <c r="A4389" t="s">
        <v>529</v>
      </c>
      <c r="B4389" t="s">
        <v>139</v>
      </c>
      <c r="C4389" s="2">
        <f>HYPERLINK("https://svao.dolgi.msk.ru/account/1768000512/", 1768000512)</f>
        <v>1768000512</v>
      </c>
      <c r="D4389">
        <v>20502.400000000001</v>
      </c>
    </row>
    <row r="4390" spans="1:4" x14ac:dyDescent="0.25">
      <c r="A4390" t="s">
        <v>529</v>
      </c>
      <c r="B4390" t="s">
        <v>28</v>
      </c>
      <c r="C4390" s="2">
        <f>HYPERLINK("https://svao.dolgi.msk.ru/account/1768000395/", 1768000395)</f>
        <v>1768000395</v>
      </c>
      <c r="D4390">
        <v>1305.22</v>
      </c>
    </row>
    <row r="4391" spans="1:4" x14ac:dyDescent="0.25">
      <c r="A4391" t="s">
        <v>529</v>
      </c>
      <c r="B4391" t="s">
        <v>30</v>
      </c>
      <c r="C4391" s="2">
        <f>HYPERLINK("https://svao.dolgi.msk.ru/account/1768033509/", 1768033509)</f>
        <v>1768033509</v>
      </c>
      <c r="D4391">
        <v>331.5</v>
      </c>
    </row>
    <row r="4392" spans="1:4" x14ac:dyDescent="0.25">
      <c r="A4392" t="s">
        <v>529</v>
      </c>
      <c r="B4392" t="s">
        <v>97</v>
      </c>
      <c r="C4392" s="2">
        <f>HYPERLINK("https://svao.dolgi.msk.ru/account/1768033517/", 1768033517)</f>
        <v>1768033517</v>
      </c>
      <c r="D4392">
        <v>621.29999999999995</v>
      </c>
    </row>
    <row r="4393" spans="1:4" x14ac:dyDescent="0.25">
      <c r="A4393" t="s">
        <v>529</v>
      </c>
      <c r="B4393" t="s">
        <v>31</v>
      </c>
      <c r="C4393" s="2">
        <f>HYPERLINK("https://svao.dolgi.msk.ru/account/1768033533/", 1768033533)</f>
        <v>1768033533</v>
      </c>
      <c r="D4393">
        <v>668.31</v>
      </c>
    </row>
    <row r="4394" spans="1:4" x14ac:dyDescent="0.25">
      <c r="A4394" t="s">
        <v>529</v>
      </c>
      <c r="B4394" t="s">
        <v>98</v>
      </c>
      <c r="C4394" s="2">
        <f>HYPERLINK("https://svao.dolgi.msk.ru/account/1768033541/", 1768033541)</f>
        <v>1768033541</v>
      </c>
      <c r="D4394">
        <v>42648.66</v>
      </c>
    </row>
    <row r="4395" spans="1:4" x14ac:dyDescent="0.25">
      <c r="A4395" t="s">
        <v>529</v>
      </c>
      <c r="B4395" t="s">
        <v>245</v>
      </c>
      <c r="C4395" s="2">
        <f>HYPERLINK("https://svao.dolgi.msk.ru/account/1768033576/", 1768033576)</f>
        <v>1768033576</v>
      </c>
      <c r="D4395">
        <v>1401.99</v>
      </c>
    </row>
    <row r="4396" spans="1:4" x14ac:dyDescent="0.25">
      <c r="A4396" t="s">
        <v>529</v>
      </c>
      <c r="B4396" t="s">
        <v>33</v>
      </c>
      <c r="C4396" s="2">
        <f>HYPERLINK("https://svao.dolgi.msk.ru/account/1768033605/", 1768033605)</f>
        <v>1768033605</v>
      </c>
      <c r="D4396">
        <v>338.95</v>
      </c>
    </row>
    <row r="4397" spans="1:4" x14ac:dyDescent="0.25">
      <c r="A4397" t="s">
        <v>529</v>
      </c>
      <c r="B4397" t="s">
        <v>34</v>
      </c>
      <c r="C4397" s="2">
        <f>HYPERLINK("https://svao.dolgi.msk.ru/account/1768033613/", 1768033613)</f>
        <v>1768033613</v>
      </c>
      <c r="D4397">
        <v>739.09</v>
      </c>
    </row>
    <row r="4398" spans="1:4" x14ac:dyDescent="0.25">
      <c r="A4398" t="s">
        <v>529</v>
      </c>
      <c r="B4398" t="s">
        <v>35</v>
      </c>
      <c r="C4398" s="2">
        <f>HYPERLINK("https://svao.dolgi.msk.ru/account/1768000504/", 1768000504)</f>
        <v>1768000504</v>
      </c>
      <c r="D4398">
        <v>1562.92</v>
      </c>
    </row>
    <row r="4399" spans="1:4" x14ac:dyDescent="0.25">
      <c r="A4399" t="s">
        <v>530</v>
      </c>
      <c r="B4399" t="s">
        <v>7</v>
      </c>
      <c r="C4399" s="2">
        <f>HYPERLINK("https://svao.dolgi.msk.ru/account/1768042907/", 1768042907)</f>
        <v>1768042907</v>
      </c>
      <c r="D4399">
        <v>6492.18</v>
      </c>
    </row>
    <row r="4400" spans="1:4" x14ac:dyDescent="0.25">
      <c r="A4400" t="s">
        <v>530</v>
      </c>
      <c r="B4400" t="s">
        <v>101</v>
      </c>
      <c r="C4400" s="2">
        <f>HYPERLINK("https://svao.dolgi.msk.ru/account/1768042915/", 1768042915)</f>
        <v>1768042915</v>
      </c>
      <c r="D4400">
        <v>1463.79</v>
      </c>
    </row>
    <row r="4401" spans="1:4" x14ac:dyDescent="0.25">
      <c r="A4401" t="s">
        <v>530</v>
      </c>
      <c r="B4401" t="s">
        <v>104</v>
      </c>
      <c r="C4401" s="2">
        <f>HYPERLINK("https://svao.dolgi.msk.ru/account/1768004249/", 1768004249)</f>
        <v>1768004249</v>
      </c>
      <c r="D4401">
        <v>2810.04</v>
      </c>
    </row>
    <row r="4402" spans="1:4" x14ac:dyDescent="0.25">
      <c r="A4402" t="s">
        <v>530</v>
      </c>
      <c r="B4402" t="s">
        <v>8</v>
      </c>
      <c r="C4402" s="2">
        <f>HYPERLINK("https://svao.dolgi.msk.ru/account/1768042958/", 1768042958)</f>
        <v>1768042958</v>
      </c>
      <c r="D4402">
        <v>641.88</v>
      </c>
    </row>
    <row r="4403" spans="1:4" x14ac:dyDescent="0.25">
      <c r="A4403" t="s">
        <v>530</v>
      </c>
      <c r="B4403" t="s">
        <v>74</v>
      </c>
      <c r="C4403" s="2">
        <f>HYPERLINK("https://svao.dolgi.msk.ru/account/1768042966/", 1768042966)</f>
        <v>1768042966</v>
      </c>
      <c r="D4403">
        <v>111.88</v>
      </c>
    </row>
    <row r="4404" spans="1:4" x14ac:dyDescent="0.25">
      <c r="A4404" t="s">
        <v>530</v>
      </c>
      <c r="B4404" t="s">
        <v>137</v>
      </c>
      <c r="C4404" s="2">
        <f>HYPERLINK("https://svao.dolgi.msk.ru/account/1768042974/", 1768042974)</f>
        <v>1768042974</v>
      </c>
      <c r="D4404">
        <v>318.23</v>
      </c>
    </row>
    <row r="4405" spans="1:4" x14ac:dyDescent="0.25">
      <c r="A4405" t="s">
        <v>530</v>
      </c>
      <c r="B4405" t="s">
        <v>9</v>
      </c>
      <c r="C4405" s="2">
        <f>HYPERLINK("https://svao.dolgi.msk.ru/account/1768042982/", 1768042982)</f>
        <v>1768042982</v>
      </c>
      <c r="D4405">
        <v>12110.33</v>
      </c>
    </row>
    <row r="4406" spans="1:4" x14ac:dyDescent="0.25">
      <c r="A4406" t="s">
        <v>530</v>
      </c>
      <c r="B4406" t="s">
        <v>10</v>
      </c>
      <c r="C4406" s="2">
        <f>HYPERLINK("https://svao.dolgi.msk.ru/account/1768043037/", 1768043037)</f>
        <v>1768043037</v>
      </c>
      <c r="D4406">
        <v>4133.45</v>
      </c>
    </row>
    <row r="4407" spans="1:4" x14ac:dyDescent="0.25">
      <c r="A4407" t="s">
        <v>530</v>
      </c>
      <c r="B4407" t="s">
        <v>219</v>
      </c>
      <c r="C4407" s="2">
        <f>HYPERLINK("https://svao.dolgi.msk.ru/account/1768043045/", 1768043045)</f>
        <v>1768043045</v>
      </c>
      <c r="D4407">
        <v>961.89</v>
      </c>
    </row>
    <row r="4408" spans="1:4" x14ac:dyDescent="0.25">
      <c r="A4408" t="s">
        <v>530</v>
      </c>
      <c r="B4408" t="s">
        <v>11</v>
      </c>
      <c r="C4408" s="2">
        <f>HYPERLINK("https://svao.dolgi.msk.ru/account/1768004118/", 1768004118)</f>
        <v>1768004118</v>
      </c>
      <c r="D4408">
        <v>225.68</v>
      </c>
    </row>
    <row r="4409" spans="1:4" x14ac:dyDescent="0.25">
      <c r="A4409" t="s">
        <v>530</v>
      </c>
      <c r="B4409" t="s">
        <v>12</v>
      </c>
      <c r="C4409" s="2">
        <f>HYPERLINK("https://svao.dolgi.msk.ru/account/1768043053/", 1768043053)</f>
        <v>1768043053</v>
      </c>
      <c r="D4409">
        <v>1624.08</v>
      </c>
    </row>
    <row r="4410" spans="1:4" x14ac:dyDescent="0.25">
      <c r="A4410" t="s">
        <v>530</v>
      </c>
      <c r="B4410" t="s">
        <v>14</v>
      </c>
      <c r="C4410" s="2">
        <f>HYPERLINK("https://svao.dolgi.msk.ru/account/1768043088/", 1768043088)</f>
        <v>1768043088</v>
      </c>
      <c r="D4410">
        <v>168.57</v>
      </c>
    </row>
    <row r="4411" spans="1:4" x14ac:dyDescent="0.25">
      <c r="A4411" t="s">
        <v>530</v>
      </c>
      <c r="B4411" t="s">
        <v>106</v>
      </c>
      <c r="C4411" s="2">
        <f>HYPERLINK("https://svao.dolgi.msk.ru/account/1768043096/", 1768043096)</f>
        <v>1768043096</v>
      </c>
      <c r="D4411">
        <v>21537.59</v>
      </c>
    </row>
    <row r="4412" spans="1:4" x14ac:dyDescent="0.25">
      <c r="A4412" t="s">
        <v>530</v>
      </c>
      <c r="B4412" t="s">
        <v>108</v>
      </c>
      <c r="C4412" s="2">
        <f>HYPERLINK("https://svao.dolgi.msk.ru/account/1768043125/", 1768043125)</f>
        <v>1768043125</v>
      </c>
      <c r="D4412">
        <v>47390.95</v>
      </c>
    </row>
    <row r="4413" spans="1:4" x14ac:dyDescent="0.25">
      <c r="A4413" t="s">
        <v>530</v>
      </c>
      <c r="B4413" t="s">
        <v>531</v>
      </c>
      <c r="C4413" s="2">
        <f>HYPERLINK("https://svao.dolgi.msk.ru/account/1768043133/", 1768043133)</f>
        <v>1768043133</v>
      </c>
      <c r="D4413">
        <v>1758.96</v>
      </c>
    </row>
    <row r="4414" spans="1:4" x14ac:dyDescent="0.25">
      <c r="A4414" t="s">
        <v>530</v>
      </c>
      <c r="B4414" t="s">
        <v>18</v>
      </c>
      <c r="C4414" s="2">
        <f>HYPERLINK("https://svao.dolgi.msk.ru/account/1768043168/", 1768043168)</f>
        <v>1768043168</v>
      </c>
      <c r="D4414">
        <v>2117.36</v>
      </c>
    </row>
    <row r="4415" spans="1:4" x14ac:dyDescent="0.25">
      <c r="A4415" t="s">
        <v>530</v>
      </c>
      <c r="B4415" t="s">
        <v>76</v>
      </c>
      <c r="C4415" s="2">
        <f>HYPERLINK("https://svao.dolgi.msk.ru/account/1768043213/", 1768043213)</f>
        <v>1768043213</v>
      </c>
      <c r="D4415">
        <v>732.61</v>
      </c>
    </row>
    <row r="4416" spans="1:4" x14ac:dyDescent="0.25">
      <c r="A4416" t="s">
        <v>530</v>
      </c>
      <c r="B4416" t="s">
        <v>93</v>
      </c>
      <c r="C4416" s="2">
        <f>HYPERLINK("https://svao.dolgi.msk.ru/account/1768004257/", 1768004257)</f>
        <v>1768004257</v>
      </c>
      <c r="D4416">
        <v>500.94</v>
      </c>
    </row>
    <row r="4417" spans="1:4" x14ac:dyDescent="0.25">
      <c r="A4417" t="s">
        <v>530</v>
      </c>
      <c r="B4417" t="s">
        <v>94</v>
      </c>
      <c r="C4417" s="2">
        <f>HYPERLINK("https://svao.dolgi.msk.ru/account/1768004126/", 1768004126)</f>
        <v>1768004126</v>
      </c>
      <c r="D4417">
        <v>25903.45</v>
      </c>
    </row>
    <row r="4418" spans="1:4" x14ac:dyDescent="0.25">
      <c r="A4418" t="s">
        <v>530</v>
      </c>
      <c r="B4418" t="s">
        <v>112</v>
      </c>
      <c r="C4418" s="2">
        <f>HYPERLINK("https://svao.dolgi.msk.ru/account/1768043248/", 1768043248)</f>
        <v>1768043248</v>
      </c>
      <c r="D4418">
        <v>663.28</v>
      </c>
    </row>
    <row r="4419" spans="1:4" x14ac:dyDescent="0.25">
      <c r="A4419" t="s">
        <v>530</v>
      </c>
      <c r="B4419" t="s">
        <v>113</v>
      </c>
      <c r="C4419" s="2">
        <f>HYPERLINK("https://svao.dolgi.msk.ru/account/1768043256/", 1768043256)</f>
        <v>1768043256</v>
      </c>
      <c r="D4419">
        <v>1078.8900000000001</v>
      </c>
    </row>
    <row r="4420" spans="1:4" x14ac:dyDescent="0.25">
      <c r="A4420" t="s">
        <v>530</v>
      </c>
      <c r="B4420" t="s">
        <v>77</v>
      </c>
      <c r="C4420" s="2">
        <f>HYPERLINK("https://svao.dolgi.msk.ru/account/1768043272/", 1768043272)</f>
        <v>1768043272</v>
      </c>
      <c r="D4420">
        <v>102.26</v>
      </c>
    </row>
    <row r="4421" spans="1:4" x14ac:dyDescent="0.25">
      <c r="A4421" t="s">
        <v>530</v>
      </c>
      <c r="B4421" t="s">
        <v>114</v>
      </c>
      <c r="C4421" s="2">
        <f>HYPERLINK("https://svao.dolgi.msk.ru/account/1768004265/", 1768004265)</f>
        <v>1768004265</v>
      </c>
      <c r="D4421">
        <v>393.58</v>
      </c>
    </row>
    <row r="4422" spans="1:4" x14ac:dyDescent="0.25">
      <c r="A4422" t="s">
        <v>530</v>
      </c>
      <c r="B4422" t="s">
        <v>124</v>
      </c>
      <c r="C4422" s="2">
        <f>HYPERLINK("https://svao.dolgi.msk.ru/account/1768043344/", 1768043344)</f>
        <v>1768043344</v>
      </c>
      <c r="D4422">
        <v>134.71</v>
      </c>
    </row>
    <row r="4423" spans="1:4" x14ac:dyDescent="0.25">
      <c r="A4423" t="s">
        <v>530</v>
      </c>
      <c r="B4423" t="s">
        <v>320</v>
      </c>
      <c r="C4423" s="2">
        <f>HYPERLINK("https://svao.dolgi.msk.ru/account/1768043387/", 1768043387)</f>
        <v>1768043387</v>
      </c>
      <c r="D4423">
        <v>329.55</v>
      </c>
    </row>
    <row r="4424" spans="1:4" x14ac:dyDescent="0.25">
      <c r="A4424" t="s">
        <v>530</v>
      </c>
      <c r="B4424" t="s">
        <v>242</v>
      </c>
      <c r="C4424" s="2">
        <f>HYPERLINK("https://svao.dolgi.msk.ru/account/1768043416/", 1768043416)</f>
        <v>1768043416</v>
      </c>
      <c r="D4424">
        <v>919.36</v>
      </c>
    </row>
    <row r="4425" spans="1:4" x14ac:dyDescent="0.25">
      <c r="A4425" t="s">
        <v>530</v>
      </c>
      <c r="B4425" t="s">
        <v>127</v>
      </c>
      <c r="C4425" s="2">
        <f>HYPERLINK("https://svao.dolgi.msk.ru/account/1768043483/", 1768043483)</f>
        <v>1768043483</v>
      </c>
      <c r="D4425">
        <v>255.1</v>
      </c>
    </row>
    <row r="4426" spans="1:4" x14ac:dyDescent="0.25">
      <c r="A4426" t="s">
        <v>530</v>
      </c>
      <c r="B4426" t="s">
        <v>81</v>
      </c>
      <c r="C4426" s="2">
        <f>HYPERLINK("https://svao.dolgi.msk.ru/account/1768043491/", 1768043491)</f>
        <v>1768043491</v>
      </c>
      <c r="D4426">
        <v>4073.47</v>
      </c>
    </row>
    <row r="4427" spans="1:4" x14ac:dyDescent="0.25">
      <c r="A4427" t="s">
        <v>530</v>
      </c>
      <c r="B4427" t="s">
        <v>119</v>
      </c>
      <c r="C4427" s="2">
        <f>HYPERLINK("https://svao.dolgi.msk.ru/account/1768043504/", 1768043504)</f>
        <v>1768043504</v>
      </c>
      <c r="D4427">
        <v>3458.79</v>
      </c>
    </row>
    <row r="4428" spans="1:4" x14ac:dyDescent="0.25">
      <c r="A4428" t="s">
        <v>530</v>
      </c>
      <c r="B4428" t="s">
        <v>120</v>
      </c>
      <c r="C4428" s="2">
        <f>HYPERLINK("https://svao.dolgi.msk.ru/account/1768043512/", 1768043512)</f>
        <v>1768043512</v>
      </c>
      <c r="D4428">
        <v>24237.43</v>
      </c>
    </row>
    <row r="4429" spans="1:4" x14ac:dyDescent="0.25">
      <c r="A4429" t="s">
        <v>530</v>
      </c>
      <c r="B4429" t="s">
        <v>128</v>
      </c>
      <c r="C4429" s="2">
        <f>HYPERLINK("https://svao.dolgi.msk.ru/account/1768004054/", 1768004054)</f>
        <v>1768004054</v>
      </c>
      <c r="D4429">
        <v>1653.42</v>
      </c>
    </row>
    <row r="4430" spans="1:4" x14ac:dyDescent="0.25">
      <c r="A4430" t="s">
        <v>530</v>
      </c>
      <c r="B4430" t="s">
        <v>132</v>
      </c>
      <c r="C4430" s="2">
        <f>HYPERLINK("https://svao.dolgi.msk.ru/account/1768043563/", 1768043563)</f>
        <v>1768043563</v>
      </c>
      <c r="D4430">
        <v>2248.4899999999998</v>
      </c>
    </row>
    <row r="4431" spans="1:4" x14ac:dyDescent="0.25">
      <c r="A4431" t="s">
        <v>530</v>
      </c>
      <c r="B4431" t="s">
        <v>26</v>
      </c>
      <c r="C4431" s="2">
        <f>HYPERLINK("https://svao.dolgi.msk.ru/account/1768043571/", 1768043571)</f>
        <v>1768043571</v>
      </c>
      <c r="D4431">
        <v>223.76</v>
      </c>
    </row>
    <row r="4432" spans="1:4" x14ac:dyDescent="0.25">
      <c r="A4432" t="s">
        <v>530</v>
      </c>
      <c r="B4432" t="s">
        <v>290</v>
      </c>
      <c r="C4432" s="2">
        <f>HYPERLINK("https://svao.dolgi.msk.ru/account/1768043619/", 1768043619)</f>
        <v>1768043619</v>
      </c>
      <c r="D4432">
        <v>2523.56</v>
      </c>
    </row>
    <row r="4433" spans="1:4" x14ac:dyDescent="0.25">
      <c r="A4433" t="s">
        <v>530</v>
      </c>
      <c r="B4433" t="s">
        <v>243</v>
      </c>
      <c r="C4433" s="2">
        <f>HYPERLINK("https://svao.dolgi.msk.ru/account/1768043627/", 1768043627)</f>
        <v>1768043627</v>
      </c>
      <c r="D4433">
        <v>1672.31</v>
      </c>
    </row>
    <row r="4434" spans="1:4" x14ac:dyDescent="0.25">
      <c r="A4434" t="s">
        <v>530</v>
      </c>
      <c r="B4434" t="s">
        <v>121</v>
      </c>
      <c r="C4434" s="2">
        <f>HYPERLINK("https://svao.dolgi.msk.ru/account/1768043635/", 1768043635)</f>
        <v>1768043635</v>
      </c>
      <c r="D4434">
        <v>10290.92</v>
      </c>
    </row>
    <row r="4435" spans="1:4" x14ac:dyDescent="0.25">
      <c r="A4435" t="s">
        <v>530</v>
      </c>
      <c r="B4435" t="s">
        <v>134</v>
      </c>
      <c r="C4435" s="2">
        <f>HYPERLINK("https://svao.dolgi.msk.ru/account/1768004214/", 1768004214)</f>
        <v>1768004214</v>
      </c>
      <c r="D4435">
        <v>633.44000000000005</v>
      </c>
    </row>
    <row r="4436" spans="1:4" x14ac:dyDescent="0.25">
      <c r="A4436" t="s">
        <v>530</v>
      </c>
      <c r="B4436" t="s">
        <v>244</v>
      </c>
      <c r="C4436" s="2">
        <f>HYPERLINK("https://svao.dolgi.msk.ru/account/1768043678/", 1768043678)</f>
        <v>1768043678</v>
      </c>
      <c r="D4436">
        <v>1089.4000000000001</v>
      </c>
    </row>
    <row r="4437" spans="1:4" x14ac:dyDescent="0.25">
      <c r="A4437" t="s">
        <v>530</v>
      </c>
      <c r="B4437" t="s">
        <v>97</v>
      </c>
      <c r="C4437" s="2">
        <f>HYPERLINK("https://svao.dolgi.msk.ru/account/1768043694/", 1768043694)</f>
        <v>1768043694</v>
      </c>
      <c r="D4437">
        <v>1943.89</v>
      </c>
    </row>
    <row r="4438" spans="1:4" x14ac:dyDescent="0.25">
      <c r="A4438" t="s">
        <v>530</v>
      </c>
      <c r="B4438" t="s">
        <v>31</v>
      </c>
      <c r="C4438" s="2">
        <f>HYPERLINK("https://svao.dolgi.msk.ru/account/1768043715/", 1768043715)</f>
        <v>1768043715</v>
      </c>
      <c r="D4438">
        <v>696.87</v>
      </c>
    </row>
    <row r="4439" spans="1:4" x14ac:dyDescent="0.25">
      <c r="A4439" t="s">
        <v>530</v>
      </c>
      <c r="B4439" t="s">
        <v>85</v>
      </c>
      <c r="C4439" s="2">
        <f>HYPERLINK("https://svao.dolgi.msk.ru/account/1768043774/", 1768043774)</f>
        <v>1768043774</v>
      </c>
      <c r="D4439">
        <v>114.13</v>
      </c>
    </row>
    <row r="4440" spans="1:4" x14ac:dyDescent="0.25">
      <c r="A4440" t="s">
        <v>530</v>
      </c>
      <c r="B4440" t="s">
        <v>33</v>
      </c>
      <c r="C4440" s="2">
        <f>HYPERLINK("https://svao.dolgi.msk.ru/account/1768004193/", 1768004193)</f>
        <v>1768004193</v>
      </c>
      <c r="D4440">
        <v>286.89</v>
      </c>
    </row>
    <row r="4441" spans="1:4" x14ac:dyDescent="0.25">
      <c r="A4441" t="s">
        <v>530</v>
      </c>
      <c r="B4441" t="s">
        <v>34</v>
      </c>
      <c r="C4441" s="2">
        <f>HYPERLINK("https://svao.dolgi.msk.ru/account/1768043782/", 1768043782)</f>
        <v>1768043782</v>
      </c>
      <c r="D4441">
        <v>1064.21</v>
      </c>
    </row>
    <row r="4442" spans="1:4" x14ac:dyDescent="0.25">
      <c r="A4442" t="s">
        <v>530</v>
      </c>
      <c r="B4442" t="s">
        <v>35</v>
      </c>
      <c r="C4442" s="2">
        <f>HYPERLINK("https://svao.dolgi.msk.ru/account/1768004062/", 1768004062)</f>
        <v>1768004062</v>
      </c>
      <c r="D4442">
        <v>157.46</v>
      </c>
    </row>
    <row r="4443" spans="1:4" x14ac:dyDescent="0.25">
      <c r="A4443" t="s">
        <v>530</v>
      </c>
      <c r="B4443" t="s">
        <v>135</v>
      </c>
      <c r="C4443" s="2">
        <f>HYPERLINK("https://svao.dolgi.msk.ru/account/1768043803/", 1768043803)</f>
        <v>1768043803</v>
      </c>
      <c r="D4443">
        <v>1660.27</v>
      </c>
    </row>
    <row r="4444" spans="1:4" x14ac:dyDescent="0.25">
      <c r="A4444" t="s">
        <v>530</v>
      </c>
      <c r="B4444" t="s">
        <v>86</v>
      </c>
      <c r="C4444" s="2">
        <f>HYPERLINK("https://svao.dolgi.msk.ru/account/1768043811/", 1768043811)</f>
        <v>1768043811</v>
      </c>
      <c r="D4444">
        <v>1026.4100000000001</v>
      </c>
    </row>
    <row r="4445" spans="1:4" x14ac:dyDescent="0.25">
      <c r="A4445" t="s">
        <v>530</v>
      </c>
      <c r="B4445" t="s">
        <v>333</v>
      </c>
      <c r="C4445" s="2">
        <f>HYPERLINK("https://svao.dolgi.msk.ru/account/1768043838/", 1768043838)</f>
        <v>1768043838</v>
      </c>
      <c r="D4445">
        <v>3462.97</v>
      </c>
    </row>
    <row r="4446" spans="1:4" x14ac:dyDescent="0.25">
      <c r="A4446" t="s">
        <v>530</v>
      </c>
      <c r="B4446" t="s">
        <v>36</v>
      </c>
      <c r="C4446" s="2">
        <f>HYPERLINK("https://svao.dolgi.msk.ru/account/1768043854/", 1768043854)</f>
        <v>1768043854</v>
      </c>
      <c r="D4446">
        <v>116.94</v>
      </c>
    </row>
    <row r="4447" spans="1:4" x14ac:dyDescent="0.25">
      <c r="A4447" t="s">
        <v>530</v>
      </c>
      <c r="B4447" t="s">
        <v>40</v>
      </c>
      <c r="C4447" s="2">
        <f>HYPERLINK("https://svao.dolgi.msk.ru/account/1768043934/", 1768043934)</f>
        <v>1768043934</v>
      </c>
      <c r="D4447">
        <v>171.62</v>
      </c>
    </row>
    <row r="4448" spans="1:4" x14ac:dyDescent="0.25">
      <c r="A4448" t="s">
        <v>530</v>
      </c>
      <c r="B4448" t="s">
        <v>43</v>
      </c>
      <c r="C4448" s="2">
        <f>HYPERLINK("https://svao.dolgi.msk.ru/account/1768043942/", 1768043942)</f>
        <v>1768043942</v>
      </c>
      <c r="D4448">
        <v>2030.78</v>
      </c>
    </row>
    <row r="4449" spans="1:4" x14ac:dyDescent="0.25">
      <c r="A4449" t="s">
        <v>530</v>
      </c>
      <c r="B4449" t="s">
        <v>142</v>
      </c>
      <c r="C4449" s="2">
        <f>HYPERLINK("https://svao.dolgi.msk.ru/account/1768043985/", 1768043985)</f>
        <v>1768043985</v>
      </c>
      <c r="D4449">
        <v>673.78</v>
      </c>
    </row>
    <row r="4450" spans="1:4" x14ac:dyDescent="0.25">
      <c r="A4450" t="s">
        <v>532</v>
      </c>
      <c r="B4450" t="s">
        <v>5</v>
      </c>
      <c r="C4450" s="2">
        <f>HYPERLINK("https://svao.dolgi.msk.ru/account/1760200384/", 1760200384)</f>
        <v>1760200384</v>
      </c>
      <c r="D4450">
        <v>10990.17</v>
      </c>
    </row>
    <row r="4451" spans="1:4" x14ac:dyDescent="0.25">
      <c r="A4451" t="s">
        <v>532</v>
      </c>
      <c r="B4451" t="s">
        <v>104</v>
      </c>
      <c r="C4451" s="2">
        <f>HYPERLINK("https://svao.dolgi.msk.ru/account/1760200472/", 1760200472)</f>
        <v>1760200472</v>
      </c>
      <c r="D4451">
        <v>675.4</v>
      </c>
    </row>
    <row r="4452" spans="1:4" x14ac:dyDescent="0.25">
      <c r="A4452" t="s">
        <v>532</v>
      </c>
      <c r="B4452" t="s">
        <v>74</v>
      </c>
      <c r="C4452" s="2">
        <f>HYPERLINK("https://svao.dolgi.msk.ru/account/1760200501/", 1760200501)</f>
        <v>1760200501</v>
      </c>
      <c r="D4452">
        <v>3711.16</v>
      </c>
    </row>
    <row r="4453" spans="1:4" x14ac:dyDescent="0.25">
      <c r="A4453" t="s">
        <v>532</v>
      </c>
      <c r="B4453" t="s">
        <v>91</v>
      </c>
      <c r="C4453" s="2">
        <f>HYPERLINK("https://svao.dolgi.msk.ru/account/1760200552/", 1760200552)</f>
        <v>1760200552</v>
      </c>
      <c r="D4453">
        <v>5183.33</v>
      </c>
    </row>
    <row r="4454" spans="1:4" x14ac:dyDescent="0.25">
      <c r="A4454" t="s">
        <v>532</v>
      </c>
      <c r="B4454" t="s">
        <v>12</v>
      </c>
      <c r="C4454" s="2">
        <f>HYPERLINK("https://svao.dolgi.msk.ru/account/1760200608/", 1760200608)</f>
        <v>1760200608</v>
      </c>
      <c r="D4454">
        <v>14924.82</v>
      </c>
    </row>
    <row r="4455" spans="1:4" x14ac:dyDescent="0.25">
      <c r="A4455" t="s">
        <v>532</v>
      </c>
      <c r="B4455" t="s">
        <v>13</v>
      </c>
      <c r="C4455" s="2">
        <f>HYPERLINK("https://svao.dolgi.msk.ru/account/1760200616/", 1760200616)</f>
        <v>1760200616</v>
      </c>
      <c r="D4455">
        <v>8572.18</v>
      </c>
    </row>
    <row r="4456" spans="1:4" x14ac:dyDescent="0.25">
      <c r="A4456" t="s">
        <v>532</v>
      </c>
      <c r="B4456" t="s">
        <v>18</v>
      </c>
      <c r="C4456" s="2">
        <f>HYPERLINK("https://svao.dolgi.msk.ru/account/1760200739/", 1760200739)</f>
        <v>1760200739</v>
      </c>
      <c r="D4456">
        <v>11258.01</v>
      </c>
    </row>
    <row r="4457" spans="1:4" x14ac:dyDescent="0.25">
      <c r="A4457" t="s">
        <v>532</v>
      </c>
      <c r="B4457" t="s">
        <v>20</v>
      </c>
      <c r="C4457" s="2">
        <f>HYPERLINK("https://svao.dolgi.msk.ru/account/1760200771/", 1760200771)</f>
        <v>1760200771</v>
      </c>
      <c r="D4457">
        <v>4116.3900000000003</v>
      </c>
    </row>
    <row r="4458" spans="1:4" x14ac:dyDescent="0.25">
      <c r="A4458" t="s">
        <v>532</v>
      </c>
      <c r="B4458" t="s">
        <v>92</v>
      </c>
      <c r="C4458" s="2">
        <f>HYPERLINK("https://svao.dolgi.msk.ru/account/1760200835/", 1760200835)</f>
        <v>1760200835</v>
      </c>
      <c r="D4458">
        <v>5572.73</v>
      </c>
    </row>
    <row r="4459" spans="1:4" x14ac:dyDescent="0.25">
      <c r="A4459" t="s">
        <v>532</v>
      </c>
      <c r="B4459" t="s">
        <v>93</v>
      </c>
      <c r="C4459" s="2">
        <f>HYPERLINK("https://svao.dolgi.msk.ru/account/1760200843/", 1760200843)</f>
        <v>1760200843</v>
      </c>
      <c r="D4459">
        <v>4149.6099999999997</v>
      </c>
    </row>
    <row r="4460" spans="1:4" x14ac:dyDescent="0.25">
      <c r="A4460" t="s">
        <v>532</v>
      </c>
      <c r="B4460" t="s">
        <v>78</v>
      </c>
      <c r="C4460" s="2">
        <f>HYPERLINK("https://svao.dolgi.msk.ru/account/1760200931/", 1760200931)</f>
        <v>1760200931</v>
      </c>
      <c r="D4460">
        <v>4835.18</v>
      </c>
    </row>
    <row r="4461" spans="1:4" x14ac:dyDescent="0.25">
      <c r="A4461" t="s">
        <v>532</v>
      </c>
      <c r="B4461" t="s">
        <v>22</v>
      </c>
      <c r="C4461" s="2">
        <f>HYPERLINK("https://svao.dolgi.msk.ru/account/1760200958/", 1760200958)</f>
        <v>1760200958</v>
      </c>
      <c r="D4461">
        <v>7707.45</v>
      </c>
    </row>
    <row r="4462" spans="1:4" x14ac:dyDescent="0.25">
      <c r="A4462" t="s">
        <v>532</v>
      </c>
      <c r="B4462" t="s">
        <v>23</v>
      </c>
      <c r="C4462" s="2">
        <f>HYPERLINK("https://svao.dolgi.msk.ru/account/1760200974/", 1760200974)</f>
        <v>1760200974</v>
      </c>
      <c r="D4462">
        <v>8068.64</v>
      </c>
    </row>
    <row r="4463" spans="1:4" x14ac:dyDescent="0.25">
      <c r="A4463" t="s">
        <v>532</v>
      </c>
      <c r="B4463" t="s">
        <v>115</v>
      </c>
      <c r="C4463" s="2">
        <f>HYPERLINK("https://svao.dolgi.msk.ru/account/1760201029/", 1760201029)</f>
        <v>1760201029</v>
      </c>
      <c r="D4463">
        <v>107083.36</v>
      </c>
    </row>
    <row r="4464" spans="1:4" x14ac:dyDescent="0.25">
      <c r="A4464" t="s">
        <v>532</v>
      </c>
      <c r="B4464" t="s">
        <v>320</v>
      </c>
      <c r="C4464" s="2">
        <f>HYPERLINK("https://svao.dolgi.msk.ru/account/1760201037/", 1760201037)</f>
        <v>1760201037</v>
      </c>
      <c r="D4464">
        <v>8065.55</v>
      </c>
    </row>
    <row r="4465" spans="1:4" x14ac:dyDescent="0.25">
      <c r="A4465" t="s">
        <v>532</v>
      </c>
      <c r="B4465" t="s">
        <v>314</v>
      </c>
      <c r="C4465" s="2">
        <f>HYPERLINK("https://svao.dolgi.msk.ru/account/1760201053/", 1760201053)</f>
        <v>1760201053</v>
      </c>
      <c r="D4465">
        <v>5029.1400000000003</v>
      </c>
    </row>
    <row r="4466" spans="1:4" x14ac:dyDescent="0.25">
      <c r="A4466" t="s">
        <v>532</v>
      </c>
      <c r="B4466" t="s">
        <v>95</v>
      </c>
      <c r="C4466" s="2">
        <f>HYPERLINK("https://svao.dolgi.msk.ru/account/1760201088/", 1760201088)</f>
        <v>1760201088</v>
      </c>
      <c r="D4466">
        <v>4880.1499999999996</v>
      </c>
    </row>
    <row r="4467" spans="1:4" x14ac:dyDescent="0.25">
      <c r="A4467" t="s">
        <v>532</v>
      </c>
      <c r="B4467" t="s">
        <v>126</v>
      </c>
      <c r="C4467" s="2">
        <f>HYPERLINK("https://svao.dolgi.msk.ru/account/1760201117/", 1760201117)</f>
        <v>1760201117</v>
      </c>
      <c r="D4467">
        <v>7928.41</v>
      </c>
    </row>
    <row r="4468" spans="1:4" x14ac:dyDescent="0.25">
      <c r="A4468" t="s">
        <v>532</v>
      </c>
      <c r="B4468" t="s">
        <v>81</v>
      </c>
      <c r="C4468" s="2">
        <f>HYPERLINK("https://svao.dolgi.msk.ru/account/1760201168/", 1760201168)</f>
        <v>1760201168</v>
      </c>
      <c r="D4468">
        <v>5868.06</v>
      </c>
    </row>
    <row r="4469" spans="1:4" x14ac:dyDescent="0.25">
      <c r="A4469" t="s">
        <v>532</v>
      </c>
      <c r="B4469" t="s">
        <v>83</v>
      </c>
      <c r="C4469" s="2">
        <f>HYPERLINK("https://svao.dolgi.msk.ru/account/1760201248/", 1760201248)</f>
        <v>1760201248</v>
      </c>
      <c r="D4469">
        <v>2514.48</v>
      </c>
    </row>
    <row r="4470" spans="1:4" x14ac:dyDescent="0.25">
      <c r="A4470" t="s">
        <v>532</v>
      </c>
      <c r="B4470" t="s">
        <v>132</v>
      </c>
      <c r="C4470" s="2">
        <f>HYPERLINK("https://svao.dolgi.msk.ru/account/1760201264/", 1760201264)</f>
        <v>1760201264</v>
      </c>
      <c r="D4470">
        <v>9962.73</v>
      </c>
    </row>
    <row r="4471" spans="1:4" x14ac:dyDescent="0.25">
      <c r="A4471" t="s">
        <v>532</v>
      </c>
      <c r="B4471" t="s">
        <v>26</v>
      </c>
      <c r="C4471" s="2">
        <f>HYPERLINK("https://svao.dolgi.msk.ru/account/1760201272/", 1760201272)</f>
        <v>1760201272</v>
      </c>
      <c r="D4471">
        <v>10178.06</v>
      </c>
    </row>
    <row r="4472" spans="1:4" x14ac:dyDescent="0.25">
      <c r="A4472" t="s">
        <v>532</v>
      </c>
      <c r="B4472" t="s">
        <v>243</v>
      </c>
      <c r="C4472" s="2">
        <f>HYPERLINK("https://svao.dolgi.msk.ru/account/1760201344/", 1760201344)</f>
        <v>1760201344</v>
      </c>
      <c r="D4472">
        <v>4589.99</v>
      </c>
    </row>
    <row r="4473" spans="1:4" x14ac:dyDescent="0.25">
      <c r="A4473" t="s">
        <v>532</v>
      </c>
      <c r="B4473" t="s">
        <v>121</v>
      </c>
      <c r="C4473" s="2">
        <f>HYPERLINK("https://svao.dolgi.msk.ru/account/1760201352/", 1760201352)</f>
        <v>1760201352</v>
      </c>
      <c r="D4473">
        <v>10713.6</v>
      </c>
    </row>
    <row r="4474" spans="1:4" x14ac:dyDescent="0.25">
      <c r="A4474" t="s">
        <v>532</v>
      </c>
      <c r="B4474" t="s">
        <v>134</v>
      </c>
      <c r="C4474" s="2">
        <f>HYPERLINK("https://svao.dolgi.msk.ru/account/1760201379/", 1760201379)</f>
        <v>1760201379</v>
      </c>
      <c r="D4474">
        <v>14899.24</v>
      </c>
    </row>
    <row r="4475" spans="1:4" x14ac:dyDescent="0.25">
      <c r="A4475" t="s">
        <v>532</v>
      </c>
      <c r="B4475" t="s">
        <v>139</v>
      </c>
      <c r="C4475" s="2">
        <f>HYPERLINK("https://svao.dolgi.msk.ru/account/1760201387/", 1760201387)</f>
        <v>1760201387</v>
      </c>
      <c r="D4475">
        <v>1929.03</v>
      </c>
    </row>
    <row r="4476" spans="1:4" x14ac:dyDescent="0.25">
      <c r="A4476" t="s">
        <v>532</v>
      </c>
      <c r="B4476" t="s">
        <v>28</v>
      </c>
      <c r="C4476" s="2">
        <f>HYPERLINK("https://svao.dolgi.msk.ru/account/1760201395/", 1760201395)</f>
        <v>1760201395</v>
      </c>
      <c r="D4476">
        <v>4993.03</v>
      </c>
    </row>
    <row r="4477" spans="1:4" x14ac:dyDescent="0.25">
      <c r="A4477" t="s">
        <v>532</v>
      </c>
      <c r="B4477" t="s">
        <v>129</v>
      </c>
      <c r="C4477" s="2">
        <f>HYPERLINK("https://svao.dolgi.msk.ru/account/1760201424/", 1760201424)</f>
        <v>1760201424</v>
      </c>
      <c r="D4477">
        <v>2215.39</v>
      </c>
    </row>
    <row r="4478" spans="1:4" x14ac:dyDescent="0.25">
      <c r="A4478" t="s">
        <v>532</v>
      </c>
      <c r="B4478" t="s">
        <v>84</v>
      </c>
      <c r="C4478" s="2">
        <f>HYPERLINK("https://svao.dolgi.msk.ru/account/1760201467/", 1760201467)</f>
        <v>1760201467</v>
      </c>
      <c r="D4478">
        <v>92586.33</v>
      </c>
    </row>
    <row r="4479" spans="1:4" x14ac:dyDescent="0.25">
      <c r="A4479" t="s">
        <v>532</v>
      </c>
      <c r="B4479" t="s">
        <v>245</v>
      </c>
      <c r="C4479" s="2">
        <f>HYPERLINK("https://svao.dolgi.msk.ru/account/1760201504/", 1760201504)</f>
        <v>1760201504</v>
      </c>
      <c r="D4479">
        <v>304.17</v>
      </c>
    </row>
    <row r="4480" spans="1:4" x14ac:dyDescent="0.25">
      <c r="A4480" t="s">
        <v>532</v>
      </c>
      <c r="B4480" t="s">
        <v>32</v>
      </c>
      <c r="C4480" s="2">
        <f>HYPERLINK("https://svao.dolgi.msk.ru/account/1760201512/", 1760201512)</f>
        <v>1760201512</v>
      </c>
      <c r="D4480">
        <v>1507.68</v>
      </c>
    </row>
    <row r="4481" spans="1:4" x14ac:dyDescent="0.25">
      <c r="A4481" t="s">
        <v>532</v>
      </c>
      <c r="B4481" t="s">
        <v>35</v>
      </c>
      <c r="C4481" s="2">
        <f>HYPERLINK("https://svao.dolgi.msk.ru/account/1760201563/", 1760201563)</f>
        <v>1760201563</v>
      </c>
      <c r="D4481">
        <v>6261.45</v>
      </c>
    </row>
    <row r="4482" spans="1:4" x14ac:dyDescent="0.25">
      <c r="A4482" t="s">
        <v>532</v>
      </c>
      <c r="B4482" t="s">
        <v>135</v>
      </c>
      <c r="C4482" s="2">
        <f>HYPERLINK("https://svao.dolgi.msk.ru/account/1760201598/", 1760201598)</f>
        <v>1760201598</v>
      </c>
      <c r="D4482">
        <v>7642.97</v>
      </c>
    </row>
    <row r="4483" spans="1:4" x14ac:dyDescent="0.25">
      <c r="A4483" t="s">
        <v>532</v>
      </c>
      <c r="B4483" t="s">
        <v>86</v>
      </c>
      <c r="C4483" s="2">
        <f>HYPERLINK("https://svao.dolgi.msk.ru/account/1760201619/", 1760201619)</f>
        <v>1760201619</v>
      </c>
      <c r="D4483">
        <v>18745.89</v>
      </c>
    </row>
    <row r="4484" spans="1:4" x14ac:dyDescent="0.25">
      <c r="A4484" t="s">
        <v>532</v>
      </c>
      <c r="B4484" t="s">
        <v>37</v>
      </c>
      <c r="C4484" s="2">
        <f>HYPERLINK("https://svao.dolgi.msk.ru/account/1760201694/", 1760201694)</f>
        <v>1760201694</v>
      </c>
      <c r="D4484">
        <v>7946.45</v>
      </c>
    </row>
    <row r="4485" spans="1:4" x14ac:dyDescent="0.25">
      <c r="A4485" t="s">
        <v>532</v>
      </c>
      <c r="B4485" t="s">
        <v>38</v>
      </c>
      <c r="C4485" s="2">
        <f>HYPERLINK("https://svao.dolgi.msk.ru/account/1760201707/", 1760201707)</f>
        <v>1760201707</v>
      </c>
      <c r="D4485">
        <v>5443.16</v>
      </c>
    </row>
    <row r="4486" spans="1:4" x14ac:dyDescent="0.25">
      <c r="A4486" t="s">
        <v>532</v>
      </c>
      <c r="B4486" t="s">
        <v>246</v>
      </c>
      <c r="C4486" s="2">
        <f>HYPERLINK("https://svao.dolgi.msk.ru/account/1760201715/", 1760201715)</f>
        <v>1760201715</v>
      </c>
      <c r="D4486">
        <v>35799.71</v>
      </c>
    </row>
    <row r="4487" spans="1:4" x14ac:dyDescent="0.25">
      <c r="A4487" t="s">
        <v>532</v>
      </c>
      <c r="B4487" t="s">
        <v>140</v>
      </c>
      <c r="C4487" s="2">
        <f>HYPERLINK("https://svao.dolgi.msk.ru/account/1760201758/", 1760201758)</f>
        <v>1760201758</v>
      </c>
      <c r="D4487">
        <v>4967.1499999999996</v>
      </c>
    </row>
    <row r="4488" spans="1:4" x14ac:dyDescent="0.25">
      <c r="A4488" t="s">
        <v>532</v>
      </c>
      <c r="B4488" t="s">
        <v>249</v>
      </c>
      <c r="C4488" s="2">
        <f>HYPERLINK("https://svao.dolgi.msk.ru/account/1760201934/", 1760201934)</f>
        <v>1760201934</v>
      </c>
      <c r="D4488">
        <v>6104.43</v>
      </c>
    </row>
    <row r="4489" spans="1:4" x14ac:dyDescent="0.25">
      <c r="A4489" t="s">
        <v>532</v>
      </c>
      <c r="B4489" t="s">
        <v>47</v>
      </c>
      <c r="C4489" s="2">
        <f>HYPERLINK("https://svao.dolgi.msk.ru/account/1760201969/", 1760201969)</f>
        <v>1760201969</v>
      </c>
      <c r="D4489">
        <v>7266.56</v>
      </c>
    </row>
    <row r="4490" spans="1:4" x14ac:dyDescent="0.25">
      <c r="A4490" t="s">
        <v>532</v>
      </c>
      <c r="B4490" t="s">
        <v>250</v>
      </c>
      <c r="C4490" s="2">
        <f>HYPERLINK("https://svao.dolgi.msk.ru/account/1760201977/", 1760201977)</f>
        <v>1760201977</v>
      </c>
      <c r="D4490">
        <v>9197.86</v>
      </c>
    </row>
    <row r="4491" spans="1:4" x14ac:dyDescent="0.25">
      <c r="A4491" t="s">
        <v>532</v>
      </c>
      <c r="B4491" t="s">
        <v>146</v>
      </c>
      <c r="C4491" s="2">
        <f>HYPERLINK("https://svao.dolgi.msk.ru/account/1760201993/", 1760201993)</f>
        <v>1760201993</v>
      </c>
      <c r="D4491">
        <v>5449.12</v>
      </c>
    </row>
    <row r="4492" spans="1:4" x14ac:dyDescent="0.25">
      <c r="A4492" t="s">
        <v>532</v>
      </c>
      <c r="B4492" t="s">
        <v>48</v>
      </c>
      <c r="C4492" s="2">
        <f>HYPERLINK("https://svao.dolgi.msk.ru/account/1760202005/", 1760202005)</f>
        <v>1760202005</v>
      </c>
      <c r="D4492">
        <v>9098.09</v>
      </c>
    </row>
    <row r="4493" spans="1:4" x14ac:dyDescent="0.25">
      <c r="A4493" t="s">
        <v>532</v>
      </c>
      <c r="B4493" t="s">
        <v>49</v>
      </c>
      <c r="C4493" s="2">
        <f>HYPERLINK("https://svao.dolgi.msk.ru/account/1760202013/", 1760202013)</f>
        <v>1760202013</v>
      </c>
      <c r="D4493">
        <v>8296</v>
      </c>
    </row>
    <row r="4494" spans="1:4" x14ac:dyDescent="0.25">
      <c r="A4494" t="s">
        <v>532</v>
      </c>
      <c r="B4494" t="s">
        <v>147</v>
      </c>
      <c r="C4494" s="2">
        <f>HYPERLINK("https://svao.dolgi.msk.ru/account/1760202048/", 1760202048)</f>
        <v>1760202048</v>
      </c>
      <c r="D4494">
        <v>5626.09</v>
      </c>
    </row>
    <row r="4495" spans="1:4" x14ac:dyDescent="0.25">
      <c r="A4495" t="s">
        <v>532</v>
      </c>
      <c r="B4495" t="s">
        <v>306</v>
      </c>
      <c r="C4495" s="2">
        <f>HYPERLINK("https://svao.dolgi.msk.ru/account/1760202099/", 1760202099)</f>
        <v>1760202099</v>
      </c>
      <c r="D4495">
        <v>8047.35</v>
      </c>
    </row>
    <row r="4496" spans="1:4" x14ac:dyDescent="0.25">
      <c r="A4496" t="s">
        <v>532</v>
      </c>
      <c r="B4496" t="s">
        <v>307</v>
      </c>
      <c r="C4496" s="2">
        <f>HYPERLINK("https://svao.dolgi.msk.ru/account/1760202232/", 1760202232)</f>
        <v>1760202232</v>
      </c>
      <c r="D4496">
        <v>6053.92</v>
      </c>
    </row>
    <row r="4497" spans="1:4" x14ac:dyDescent="0.25">
      <c r="A4497" t="s">
        <v>532</v>
      </c>
      <c r="B4497" t="s">
        <v>296</v>
      </c>
      <c r="C4497" s="2">
        <f>HYPERLINK("https://svao.dolgi.msk.ru/account/1760202275/", 1760202275)</f>
        <v>1760202275</v>
      </c>
      <c r="D4497">
        <v>642.61</v>
      </c>
    </row>
    <row r="4498" spans="1:4" x14ac:dyDescent="0.25">
      <c r="A4498" t="s">
        <v>532</v>
      </c>
      <c r="B4498" t="s">
        <v>296</v>
      </c>
      <c r="C4498" s="2">
        <f>HYPERLINK("https://svao.dolgi.msk.ru/account/1760202283/", 1760202283)</f>
        <v>1760202283</v>
      </c>
      <c r="D4498">
        <v>10948.46</v>
      </c>
    </row>
    <row r="4499" spans="1:4" x14ac:dyDescent="0.25">
      <c r="A4499" t="s">
        <v>532</v>
      </c>
      <c r="B4499" t="s">
        <v>54</v>
      </c>
      <c r="C4499" s="2">
        <f>HYPERLINK("https://svao.dolgi.msk.ru/account/1760202347/", 1760202347)</f>
        <v>1760202347</v>
      </c>
      <c r="D4499">
        <v>5598.2</v>
      </c>
    </row>
    <row r="4500" spans="1:4" x14ac:dyDescent="0.25">
      <c r="A4500" t="s">
        <v>532</v>
      </c>
      <c r="B4500" t="s">
        <v>309</v>
      </c>
      <c r="C4500" s="2">
        <f>HYPERLINK("https://svao.dolgi.msk.ru/account/1760202371/", 1760202371)</f>
        <v>1760202371</v>
      </c>
      <c r="D4500">
        <v>4915.96</v>
      </c>
    </row>
    <row r="4501" spans="1:4" x14ac:dyDescent="0.25">
      <c r="A4501" t="s">
        <v>532</v>
      </c>
      <c r="B4501" t="s">
        <v>155</v>
      </c>
      <c r="C4501" s="2">
        <f>HYPERLINK("https://svao.dolgi.msk.ru/account/1760202566/", 1760202566)</f>
        <v>1760202566</v>
      </c>
      <c r="D4501">
        <v>11040.24</v>
      </c>
    </row>
    <row r="4502" spans="1:4" x14ac:dyDescent="0.25">
      <c r="A4502" t="s">
        <v>532</v>
      </c>
      <c r="B4502" t="s">
        <v>429</v>
      </c>
      <c r="C4502" s="2">
        <f>HYPERLINK("https://svao.dolgi.msk.ru/account/1760202603/", 1760202603)</f>
        <v>1760202603</v>
      </c>
      <c r="D4502">
        <v>13800.64</v>
      </c>
    </row>
    <row r="4503" spans="1:4" x14ac:dyDescent="0.25">
      <c r="A4503" t="s">
        <v>532</v>
      </c>
      <c r="B4503" t="s">
        <v>158</v>
      </c>
      <c r="C4503" s="2">
        <f>HYPERLINK("https://svao.dolgi.msk.ru/account/1760202718/", 1760202718)</f>
        <v>1760202718</v>
      </c>
      <c r="D4503">
        <v>329.1</v>
      </c>
    </row>
    <row r="4504" spans="1:4" x14ac:dyDescent="0.25">
      <c r="A4504" t="s">
        <v>532</v>
      </c>
      <c r="B4504" t="s">
        <v>159</v>
      </c>
      <c r="C4504" s="2">
        <f>HYPERLINK("https://svao.dolgi.msk.ru/account/1760202814/", 1760202814)</f>
        <v>1760202814</v>
      </c>
      <c r="D4504">
        <v>683.52</v>
      </c>
    </row>
    <row r="4505" spans="1:4" x14ac:dyDescent="0.25">
      <c r="A4505" t="s">
        <v>532</v>
      </c>
      <c r="B4505" t="s">
        <v>344</v>
      </c>
      <c r="C4505" s="2">
        <f>HYPERLINK("https://svao.dolgi.msk.ru/account/1760202873/", 1760202873)</f>
        <v>1760202873</v>
      </c>
      <c r="D4505">
        <v>4376.54</v>
      </c>
    </row>
    <row r="4506" spans="1:4" x14ac:dyDescent="0.25">
      <c r="A4506" t="s">
        <v>532</v>
      </c>
      <c r="B4506" t="s">
        <v>160</v>
      </c>
      <c r="C4506" s="2">
        <f>HYPERLINK("https://svao.dolgi.msk.ru/account/1760202881/", 1760202881)</f>
        <v>1760202881</v>
      </c>
      <c r="D4506">
        <v>8999.84</v>
      </c>
    </row>
    <row r="4507" spans="1:4" x14ac:dyDescent="0.25">
      <c r="A4507" t="s">
        <v>532</v>
      </c>
      <c r="B4507" t="s">
        <v>63</v>
      </c>
      <c r="C4507" s="2">
        <f>HYPERLINK("https://svao.dolgi.msk.ru/account/1760202902/", 1760202902)</f>
        <v>1760202902</v>
      </c>
      <c r="D4507">
        <v>5730.2</v>
      </c>
    </row>
    <row r="4508" spans="1:4" x14ac:dyDescent="0.25">
      <c r="A4508" t="s">
        <v>532</v>
      </c>
      <c r="B4508" t="s">
        <v>64</v>
      </c>
      <c r="C4508" s="2">
        <f>HYPERLINK("https://svao.dolgi.msk.ru/account/1760202937/", 1760202937)</f>
        <v>1760202937</v>
      </c>
      <c r="D4508">
        <v>3345.48</v>
      </c>
    </row>
    <row r="4509" spans="1:4" x14ac:dyDescent="0.25">
      <c r="A4509" t="s">
        <v>532</v>
      </c>
      <c r="B4509" t="s">
        <v>161</v>
      </c>
      <c r="C4509" s="2">
        <f>HYPERLINK("https://svao.dolgi.msk.ru/account/1761820067/", 1761820067)</f>
        <v>1761820067</v>
      </c>
      <c r="D4509">
        <v>12912.37</v>
      </c>
    </row>
    <row r="4510" spans="1:4" x14ac:dyDescent="0.25">
      <c r="A4510" t="s">
        <v>532</v>
      </c>
      <c r="B4510" t="s">
        <v>346</v>
      </c>
      <c r="C4510" s="2">
        <f>HYPERLINK("https://svao.dolgi.msk.ru/account/1760202988/", 1760202988)</f>
        <v>1760202988</v>
      </c>
      <c r="D4510">
        <v>10027.450000000001</v>
      </c>
    </row>
    <row r="4511" spans="1:4" x14ac:dyDescent="0.25">
      <c r="A4511" t="s">
        <v>532</v>
      </c>
      <c r="B4511" t="s">
        <v>439</v>
      </c>
      <c r="C4511" s="2">
        <f>HYPERLINK("https://svao.dolgi.msk.ru/account/1760203024/", 1760203024)</f>
        <v>1760203024</v>
      </c>
      <c r="D4511">
        <v>3697.7</v>
      </c>
    </row>
    <row r="4512" spans="1:4" x14ac:dyDescent="0.25">
      <c r="A4512" t="s">
        <v>532</v>
      </c>
      <c r="B4512" t="s">
        <v>258</v>
      </c>
      <c r="C4512" s="2">
        <f>HYPERLINK("https://svao.dolgi.msk.ru/account/1760203032/", 1760203032)</f>
        <v>1760203032</v>
      </c>
      <c r="D4512">
        <v>108378.87</v>
      </c>
    </row>
    <row r="4513" spans="1:4" x14ac:dyDescent="0.25">
      <c r="A4513" t="s">
        <v>532</v>
      </c>
      <c r="B4513" t="s">
        <v>258</v>
      </c>
      <c r="C4513" s="2">
        <f>HYPERLINK("https://svao.dolgi.msk.ru/account/1761791673/", 1761791673)</f>
        <v>1761791673</v>
      </c>
      <c r="D4513">
        <v>50923.32</v>
      </c>
    </row>
    <row r="4514" spans="1:4" x14ac:dyDescent="0.25">
      <c r="A4514" t="s">
        <v>532</v>
      </c>
      <c r="B4514" t="s">
        <v>258</v>
      </c>
      <c r="C4514" s="2">
        <f>HYPERLINK("https://svao.dolgi.msk.ru/account/1761812403/", 1761812403)</f>
        <v>1761812403</v>
      </c>
      <c r="D4514">
        <v>4984.87</v>
      </c>
    </row>
    <row r="4515" spans="1:4" x14ac:dyDescent="0.25">
      <c r="A4515" t="s">
        <v>532</v>
      </c>
      <c r="B4515" t="s">
        <v>260</v>
      </c>
      <c r="C4515" s="2">
        <f>HYPERLINK("https://svao.dolgi.msk.ru/account/1760203139/", 1760203139)</f>
        <v>1760203139</v>
      </c>
      <c r="D4515">
        <v>8058.92</v>
      </c>
    </row>
    <row r="4516" spans="1:4" x14ac:dyDescent="0.25">
      <c r="A4516" t="s">
        <v>532</v>
      </c>
      <c r="B4516" t="s">
        <v>417</v>
      </c>
      <c r="C4516" s="2">
        <f>HYPERLINK("https://svao.dolgi.msk.ru/account/1760203294/", 1760203294)</f>
        <v>1760203294</v>
      </c>
      <c r="D4516">
        <v>4341.26</v>
      </c>
    </row>
    <row r="4517" spans="1:4" x14ac:dyDescent="0.25">
      <c r="A4517" t="s">
        <v>532</v>
      </c>
      <c r="B4517" t="s">
        <v>419</v>
      </c>
      <c r="C4517" s="2">
        <f>HYPERLINK("https://svao.dolgi.msk.ru/account/1760203358/", 1760203358)</f>
        <v>1760203358</v>
      </c>
      <c r="D4517">
        <v>6534.59</v>
      </c>
    </row>
    <row r="4518" spans="1:4" x14ac:dyDescent="0.25">
      <c r="A4518" t="s">
        <v>532</v>
      </c>
      <c r="B4518" t="s">
        <v>348</v>
      </c>
      <c r="C4518" s="2">
        <f>HYPERLINK("https://svao.dolgi.msk.ru/account/1760203366/", 1760203366)</f>
        <v>1760203366</v>
      </c>
      <c r="D4518">
        <v>658.27</v>
      </c>
    </row>
    <row r="4519" spans="1:4" x14ac:dyDescent="0.25">
      <c r="A4519" t="s">
        <v>532</v>
      </c>
      <c r="B4519" t="s">
        <v>264</v>
      </c>
      <c r="C4519" s="2">
        <f>HYPERLINK("https://svao.dolgi.msk.ru/account/1760203403/", 1760203403)</f>
        <v>1760203403</v>
      </c>
      <c r="D4519">
        <v>6502.52</v>
      </c>
    </row>
    <row r="4520" spans="1:4" x14ac:dyDescent="0.25">
      <c r="A4520" t="s">
        <v>532</v>
      </c>
      <c r="B4520" t="s">
        <v>265</v>
      </c>
      <c r="C4520" s="2">
        <f>HYPERLINK("https://svao.dolgi.msk.ru/account/1760203454/", 1760203454)</f>
        <v>1760203454</v>
      </c>
      <c r="D4520">
        <v>180.68</v>
      </c>
    </row>
    <row r="4521" spans="1:4" x14ac:dyDescent="0.25">
      <c r="A4521" t="s">
        <v>532</v>
      </c>
      <c r="B4521" t="s">
        <v>172</v>
      </c>
      <c r="C4521" s="2">
        <f>HYPERLINK("https://svao.dolgi.msk.ru/account/1760203462/", 1760203462)</f>
        <v>1760203462</v>
      </c>
      <c r="D4521">
        <v>6302.15</v>
      </c>
    </row>
    <row r="4522" spans="1:4" x14ac:dyDescent="0.25">
      <c r="A4522" t="s">
        <v>532</v>
      </c>
      <c r="B4522" t="s">
        <v>349</v>
      </c>
      <c r="C4522" s="2">
        <f>HYPERLINK("https://svao.dolgi.msk.ru/account/1760203526/", 1760203526)</f>
        <v>1760203526</v>
      </c>
      <c r="D4522">
        <v>511.23</v>
      </c>
    </row>
    <row r="4523" spans="1:4" x14ac:dyDescent="0.25">
      <c r="A4523" t="s">
        <v>532</v>
      </c>
      <c r="B4523" t="s">
        <v>352</v>
      </c>
      <c r="C4523" s="2">
        <f>HYPERLINK("https://svao.dolgi.msk.ru/account/1760203593/", 1760203593)</f>
        <v>1760203593</v>
      </c>
      <c r="D4523">
        <v>3862.84</v>
      </c>
    </row>
    <row r="4524" spans="1:4" x14ac:dyDescent="0.25">
      <c r="A4524" t="s">
        <v>532</v>
      </c>
      <c r="B4524" t="s">
        <v>175</v>
      </c>
      <c r="C4524" s="2">
        <f>HYPERLINK("https://svao.dolgi.msk.ru/account/1760224538/", 1760224538)</f>
        <v>1760224538</v>
      </c>
      <c r="D4524">
        <v>5877.05</v>
      </c>
    </row>
    <row r="4525" spans="1:4" x14ac:dyDescent="0.25">
      <c r="A4525" t="s">
        <v>532</v>
      </c>
      <c r="B4525" t="s">
        <v>533</v>
      </c>
      <c r="C4525" s="2">
        <f>HYPERLINK("https://svao.dolgi.msk.ru/account/1760203681/", 1760203681)</f>
        <v>1760203681</v>
      </c>
      <c r="D4525">
        <v>5453.89</v>
      </c>
    </row>
    <row r="4526" spans="1:4" x14ac:dyDescent="0.25">
      <c r="A4526" t="s">
        <v>532</v>
      </c>
      <c r="B4526" t="s">
        <v>177</v>
      </c>
      <c r="C4526" s="2">
        <f>HYPERLINK("https://svao.dolgi.msk.ru/account/1760203729/", 1760203729)</f>
        <v>1760203729</v>
      </c>
      <c r="D4526">
        <v>12245.02</v>
      </c>
    </row>
    <row r="4527" spans="1:4" x14ac:dyDescent="0.25">
      <c r="A4527" t="s">
        <v>532</v>
      </c>
      <c r="B4527" t="s">
        <v>534</v>
      </c>
      <c r="C4527" s="2">
        <f>HYPERLINK("https://svao.dolgi.msk.ru/account/1760203753/", 1760203753)</f>
        <v>1760203753</v>
      </c>
      <c r="D4527">
        <v>25101.87</v>
      </c>
    </row>
    <row r="4528" spans="1:4" x14ac:dyDescent="0.25">
      <c r="A4528" t="s">
        <v>532</v>
      </c>
      <c r="B4528" t="s">
        <v>269</v>
      </c>
      <c r="C4528" s="2">
        <f>HYPERLINK("https://svao.dolgi.msk.ru/account/1760203796/", 1760203796)</f>
        <v>1760203796</v>
      </c>
      <c r="D4528">
        <v>9419.06</v>
      </c>
    </row>
    <row r="4529" spans="1:4" x14ac:dyDescent="0.25">
      <c r="A4529" t="s">
        <v>532</v>
      </c>
      <c r="B4529" t="s">
        <v>272</v>
      </c>
      <c r="C4529" s="2">
        <f>HYPERLINK("https://svao.dolgi.msk.ru/account/1760203825/", 1760203825)</f>
        <v>1760203825</v>
      </c>
      <c r="D4529">
        <v>434.58</v>
      </c>
    </row>
    <row r="4530" spans="1:4" x14ac:dyDescent="0.25">
      <c r="A4530" t="s">
        <v>532</v>
      </c>
      <c r="B4530" t="s">
        <v>178</v>
      </c>
      <c r="C4530" s="2">
        <f>HYPERLINK("https://svao.dolgi.msk.ru/account/1760203833/", 1760203833)</f>
        <v>1760203833</v>
      </c>
      <c r="D4530">
        <v>4150.95</v>
      </c>
    </row>
    <row r="4531" spans="1:4" x14ac:dyDescent="0.25">
      <c r="A4531" t="s">
        <v>532</v>
      </c>
      <c r="B4531" t="s">
        <v>179</v>
      </c>
      <c r="C4531" s="2">
        <f>HYPERLINK("https://svao.dolgi.msk.ru/account/1760203841/", 1760203841)</f>
        <v>1760203841</v>
      </c>
      <c r="D4531">
        <v>6333.87</v>
      </c>
    </row>
    <row r="4532" spans="1:4" x14ac:dyDescent="0.25">
      <c r="A4532" t="s">
        <v>532</v>
      </c>
      <c r="B4532" t="s">
        <v>488</v>
      </c>
      <c r="C4532" s="2">
        <f>HYPERLINK("https://svao.dolgi.msk.ru/account/1760203876/", 1760203876)</f>
        <v>1760203876</v>
      </c>
      <c r="D4532">
        <v>8515.31</v>
      </c>
    </row>
    <row r="4533" spans="1:4" x14ac:dyDescent="0.25">
      <c r="A4533" t="s">
        <v>532</v>
      </c>
      <c r="B4533" t="s">
        <v>535</v>
      </c>
      <c r="C4533" s="2">
        <f>HYPERLINK("https://svao.dolgi.msk.ru/account/1760203948/", 1760203948)</f>
        <v>1760203948</v>
      </c>
      <c r="D4533">
        <v>22644.959999999999</v>
      </c>
    </row>
    <row r="4534" spans="1:4" x14ac:dyDescent="0.25">
      <c r="A4534" t="s">
        <v>532</v>
      </c>
      <c r="B4534" t="s">
        <v>354</v>
      </c>
      <c r="C4534" s="2">
        <f>HYPERLINK("https://svao.dolgi.msk.ru/account/1760203964/", 1760203964)</f>
        <v>1760203964</v>
      </c>
      <c r="D4534">
        <v>5248.94</v>
      </c>
    </row>
    <row r="4535" spans="1:4" x14ac:dyDescent="0.25">
      <c r="A4535" t="s">
        <v>532</v>
      </c>
      <c r="B4535" t="s">
        <v>355</v>
      </c>
      <c r="C4535" s="2">
        <f>HYPERLINK("https://svao.dolgi.msk.ru/account/1760203999/", 1760203999)</f>
        <v>1760203999</v>
      </c>
      <c r="D4535">
        <v>8237.5</v>
      </c>
    </row>
    <row r="4536" spans="1:4" x14ac:dyDescent="0.25">
      <c r="A4536" t="s">
        <v>532</v>
      </c>
      <c r="B4536" t="s">
        <v>183</v>
      </c>
      <c r="C4536" s="2">
        <f>HYPERLINK("https://svao.dolgi.msk.ru/account/1760204094/", 1760204094)</f>
        <v>1760204094</v>
      </c>
      <c r="D4536">
        <v>10691.36</v>
      </c>
    </row>
    <row r="4537" spans="1:4" x14ac:dyDescent="0.25">
      <c r="A4537" t="s">
        <v>532</v>
      </c>
      <c r="B4537" t="s">
        <v>184</v>
      </c>
      <c r="C4537" s="2">
        <f>HYPERLINK("https://svao.dolgi.msk.ru/account/1760204107/", 1760204107)</f>
        <v>1760204107</v>
      </c>
      <c r="D4537">
        <v>1010.72</v>
      </c>
    </row>
    <row r="4538" spans="1:4" x14ac:dyDescent="0.25">
      <c r="A4538" t="s">
        <v>532</v>
      </c>
      <c r="B4538" t="s">
        <v>185</v>
      </c>
      <c r="C4538" s="2">
        <f>HYPERLINK("https://svao.dolgi.msk.ru/account/1760204115/", 1760204115)</f>
        <v>1760204115</v>
      </c>
      <c r="D4538">
        <v>46543.040000000001</v>
      </c>
    </row>
    <row r="4539" spans="1:4" x14ac:dyDescent="0.25">
      <c r="A4539" t="s">
        <v>532</v>
      </c>
      <c r="B4539" t="s">
        <v>505</v>
      </c>
      <c r="C4539" s="2">
        <f>HYPERLINK("https://svao.dolgi.msk.ru/account/1760204158/", 1760204158)</f>
        <v>1760204158</v>
      </c>
      <c r="D4539">
        <v>6085.91</v>
      </c>
    </row>
    <row r="4540" spans="1:4" x14ac:dyDescent="0.25">
      <c r="A4540" t="s">
        <v>532</v>
      </c>
      <c r="B4540" t="s">
        <v>358</v>
      </c>
      <c r="C4540" s="2">
        <f>HYPERLINK("https://svao.dolgi.msk.ru/account/1760204166/", 1760204166)</f>
        <v>1760204166</v>
      </c>
      <c r="D4540">
        <v>4667.76</v>
      </c>
    </row>
    <row r="4541" spans="1:4" x14ac:dyDescent="0.25">
      <c r="A4541" t="s">
        <v>536</v>
      </c>
      <c r="B4541" t="s">
        <v>6</v>
      </c>
      <c r="C4541" s="2">
        <f>HYPERLINK("https://svao.dolgi.msk.ru/account/1760212297/", 1760212297)</f>
        <v>1760212297</v>
      </c>
      <c r="D4541">
        <v>69960.149999999994</v>
      </c>
    </row>
    <row r="4542" spans="1:4" x14ac:dyDescent="0.25">
      <c r="A4542" t="s">
        <v>536</v>
      </c>
      <c r="B4542" t="s">
        <v>5</v>
      </c>
      <c r="C4542" s="2">
        <f>HYPERLINK("https://svao.dolgi.msk.ru/account/1760212326/", 1760212326)</f>
        <v>1760212326</v>
      </c>
      <c r="D4542">
        <v>6573.81</v>
      </c>
    </row>
    <row r="4543" spans="1:4" x14ac:dyDescent="0.25">
      <c r="A4543" t="s">
        <v>536</v>
      </c>
      <c r="B4543" t="s">
        <v>7</v>
      </c>
      <c r="C4543" s="2">
        <f>HYPERLINK("https://svao.dolgi.msk.ru/account/1760212334/", 1760212334)</f>
        <v>1760212334</v>
      </c>
      <c r="D4543">
        <v>371059.71</v>
      </c>
    </row>
    <row r="4544" spans="1:4" x14ac:dyDescent="0.25">
      <c r="A4544" t="s">
        <v>536</v>
      </c>
      <c r="B4544" t="s">
        <v>104</v>
      </c>
      <c r="C4544" s="2">
        <f>HYPERLINK("https://svao.dolgi.msk.ru/account/1760212406/", 1760212406)</f>
        <v>1760212406</v>
      </c>
      <c r="D4544">
        <v>249.26</v>
      </c>
    </row>
    <row r="4545" spans="1:4" x14ac:dyDescent="0.25">
      <c r="A4545" t="s">
        <v>536</v>
      </c>
      <c r="B4545" t="s">
        <v>137</v>
      </c>
      <c r="C4545" s="2">
        <f>HYPERLINK("https://svao.dolgi.msk.ru/account/1760212449/", 1760212449)</f>
        <v>1760212449</v>
      </c>
      <c r="D4545">
        <v>7386.74</v>
      </c>
    </row>
    <row r="4546" spans="1:4" x14ac:dyDescent="0.25">
      <c r="A4546" t="s">
        <v>536</v>
      </c>
      <c r="B4546" t="s">
        <v>9</v>
      </c>
      <c r="C4546" s="2">
        <f>HYPERLINK("https://svao.dolgi.msk.ru/account/1760212457/", 1760212457)</f>
        <v>1760212457</v>
      </c>
      <c r="D4546">
        <v>188.8</v>
      </c>
    </row>
    <row r="4547" spans="1:4" x14ac:dyDescent="0.25">
      <c r="A4547" t="s">
        <v>536</v>
      </c>
      <c r="B4547" t="s">
        <v>10</v>
      </c>
      <c r="C4547" s="2">
        <f>HYPERLINK("https://svao.dolgi.msk.ru/account/1760212481/", 1760212481)</f>
        <v>1760212481</v>
      </c>
      <c r="D4547">
        <v>16516.2</v>
      </c>
    </row>
    <row r="4548" spans="1:4" x14ac:dyDescent="0.25">
      <c r="A4548" t="s">
        <v>536</v>
      </c>
      <c r="B4548" t="s">
        <v>13</v>
      </c>
      <c r="C4548" s="2">
        <f>HYPERLINK("https://svao.dolgi.msk.ru/account/1760212545/", 1760212545)</f>
        <v>1760212545</v>
      </c>
      <c r="D4548">
        <v>15809.73</v>
      </c>
    </row>
    <row r="4549" spans="1:4" x14ac:dyDescent="0.25">
      <c r="A4549" t="s">
        <v>536</v>
      </c>
      <c r="B4549" t="s">
        <v>16</v>
      </c>
      <c r="C4549" s="2">
        <f>HYPERLINK("https://svao.dolgi.msk.ru/account/1760212625/", 1760212625)</f>
        <v>1760212625</v>
      </c>
      <c r="D4549">
        <v>17642.78</v>
      </c>
    </row>
    <row r="4550" spans="1:4" x14ac:dyDescent="0.25">
      <c r="A4550" t="s">
        <v>536</v>
      </c>
      <c r="B4550" t="s">
        <v>17</v>
      </c>
      <c r="C4550" s="2">
        <f>HYPERLINK("https://svao.dolgi.msk.ru/account/1760212641/", 1760212641)</f>
        <v>1760212641</v>
      </c>
      <c r="D4550">
        <v>9334.75</v>
      </c>
    </row>
    <row r="4551" spans="1:4" x14ac:dyDescent="0.25">
      <c r="A4551" t="s">
        <v>536</v>
      </c>
      <c r="B4551" t="s">
        <v>18</v>
      </c>
      <c r="C4551" s="2">
        <f>HYPERLINK("https://svao.dolgi.msk.ru/account/1760212633/", 1760212633)</f>
        <v>1760212633</v>
      </c>
      <c r="D4551">
        <v>10500.02</v>
      </c>
    </row>
    <row r="4552" spans="1:4" x14ac:dyDescent="0.25">
      <c r="A4552" t="s">
        <v>536</v>
      </c>
      <c r="B4552" t="s">
        <v>19</v>
      </c>
      <c r="C4552" s="2">
        <f>HYPERLINK("https://svao.dolgi.msk.ru/account/1760212668/", 1760212668)</f>
        <v>1760212668</v>
      </c>
      <c r="D4552">
        <v>2222.85</v>
      </c>
    </row>
    <row r="4553" spans="1:4" x14ac:dyDescent="0.25">
      <c r="A4553" t="s">
        <v>536</v>
      </c>
      <c r="B4553" t="s">
        <v>93</v>
      </c>
      <c r="C4553" s="2">
        <f>HYPERLINK("https://svao.dolgi.msk.ru/account/1760212721/", 1760212721)</f>
        <v>1760212721</v>
      </c>
      <c r="D4553">
        <v>4128.33</v>
      </c>
    </row>
    <row r="4554" spans="1:4" x14ac:dyDescent="0.25">
      <c r="A4554" t="s">
        <v>536</v>
      </c>
      <c r="B4554" t="s">
        <v>22</v>
      </c>
      <c r="C4554" s="2">
        <f>HYPERLINK("https://svao.dolgi.msk.ru/account/1760212852/", 1760212852)</f>
        <v>1760212852</v>
      </c>
      <c r="D4554">
        <v>338.88</v>
      </c>
    </row>
    <row r="4555" spans="1:4" x14ac:dyDescent="0.25">
      <c r="A4555" t="s">
        <v>536</v>
      </c>
      <c r="B4555" t="s">
        <v>23</v>
      </c>
      <c r="C4555" s="2">
        <f>HYPERLINK("https://svao.dolgi.msk.ru/account/1760212887/", 1760212887)</f>
        <v>1760212887</v>
      </c>
      <c r="D4555">
        <v>1507.03</v>
      </c>
    </row>
    <row r="4556" spans="1:4" x14ac:dyDescent="0.25">
      <c r="A4556" t="s">
        <v>536</v>
      </c>
      <c r="B4556" t="s">
        <v>124</v>
      </c>
      <c r="C4556" s="2">
        <f>HYPERLINK("https://svao.dolgi.msk.ru/account/1760212895/", 1760212895)</f>
        <v>1760212895</v>
      </c>
      <c r="D4556">
        <v>6866.84</v>
      </c>
    </row>
    <row r="4557" spans="1:4" x14ac:dyDescent="0.25">
      <c r="A4557" t="s">
        <v>536</v>
      </c>
      <c r="B4557" t="s">
        <v>320</v>
      </c>
      <c r="C4557" s="2">
        <f>HYPERLINK("https://svao.dolgi.msk.ru/account/1760212924/", 1760212924)</f>
        <v>1760212924</v>
      </c>
      <c r="D4557">
        <v>5550.25</v>
      </c>
    </row>
    <row r="4558" spans="1:4" x14ac:dyDescent="0.25">
      <c r="A4558" t="s">
        <v>536</v>
      </c>
      <c r="B4558" t="s">
        <v>242</v>
      </c>
      <c r="C4558" s="2">
        <f>HYPERLINK("https://svao.dolgi.msk.ru/account/1760212967/", 1760212967)</f>
        <v>1760212967</v>
      </c>
      <c r="D4558">
        <v>9721.43</v>
      </c>
    </row>
    <row r="4559" spans="1:4" x14ac:dyDescent="0.25">
      <c r="A4559" t="s">
        <v>536</v>
      </c>
      <c r="B4559" t="s">
        <v>95</v>
      </c>
      <c r="C4559" s="2">
        <f>HYPERLINK("https://svao.dolgi.msk.ru/account/1760212975/", 1760212975)</f>
        <v>1760212975</v>
      </c>
      <c r="D4559">
        <v>179.08</v>
      </c>
    </row>
    <row r="4560" spans="1:4" x14ac:dyDescent="0.25">
      <c r="A4560" t="s">
        <v>536</v>
      </c>
      <c r="B4560" t="s">
        <v>125</v>
      </c>
      <c r="C4560" s="2">
        <f>HYPERLINK("https://svao.dolgi.msk.ru/account/1760212983/", 1760212983)</f>
        <v>1760212983</v>
      </c>
      <c r="D4560">
        <v>4140.1499999999996</v>
      </c>
    </row>
    <row r="4561" spans="1:4" x14ac:dyDescent="0.25">
      <c r="A4561" t="s">
        <v>536</v>
      </c>
      <c r="B4561" t="s">
        <v>126</v>
      </c>
      <c r="C4561" s="2">
        <f>HYPERLINK("https://svao.dolgi.msk.ru/account/1760213003/", 1760213003)</f>
        <v>1760213003</v>
      </c>
      <c r="D4561">
        <v>7214.03</v>
      </c>
    </row>
    <row r="4562" spans="1:4" x14ac:dyDescent="0.25">
      <c r="A4562" t="s">
        <v>536</v>
      </c>
      <c r="B4562" t="s">
        <v>118</v>
      </c>
      <c r="C4562" s="2">
        <f>HYPERLINK("https://svao.dolgi.msk.ru/account/1760213054/", 1760213054)</f>
        <v>1760213054</v>
      </c>
      <c r="D4562">
        <v>2032.17</v>
      </c>
    </row>
    <row r="4563" spans="1:4" x14ac:dyDescent="0.25">
      <c r="A4563" t="s">
        <v>536</v>
      </c>
      <c r="B4563" t="s">
        <v>81</v>
      </c>
      <c r="C4563" s="2">
        <f>HYPERLINK("https://svao.dolgi.msk.ru/account/1760213097/", 1760213097)</f>
        <v>1760213097</v>
      </c>
      <c r="D4563">
        <v>3405.39</v>
      </c>
    </row>
    <row r="4564" spans="1:4" x14ac:dyDescent="0.25">
      <c r="A4564" t="s">
        <v>536</v>
      </c>
      <c r="B4564" t="s">
        <v>82</v>
      </c>
      <c r="C4564" s="2">
        <f>HYPERLINK("https://svao.dolgi.msk.ru/account/1760213142/", 1760213142)</f>
        <v>1760213142</v>
      </c>
      <c r="D4564">
        <v>387.98</v>
      </c>
    </row>
    <row r="4565" spans="1:4" x14ac:dyDescent="0.25">
      <c r="A4565" t="s">
        <v>536</v>
      </c>
      <c r="B4565" t="s">
        <v>26</v>
      </c>
      <c r="C4565" s="2">
        <f>HYPERLINK("https://svao.dolgi.msk.ru/account/1760213193/", 1760213193)</f>
        <v>1760213193</v>
      </c>
      <c r="D4565">
        <v>5946.85</v>
      </c>
    </row>
    <row r="4566" spans="1:4" x14ac:dyDescent="0.25">
      <c r="A4566" t="s">
        <v>536</v>
      </c>
      <c r="B4566" t="s">
        <v>290</v>
      </c>
      <c r="C4566" s="2">
        <f>HYPERLINK("https://svao.dolgi.msk.ru/account/1760213249/", 1760213249)</f>
        <v>1760213249</v>
      </c>
      <c r="D4566">
        <v>9854.7000000000007</v>
      </c>
    </row>
    <row r="4567" spans="1:4" x14ac:dyDescent="0.25">
      <c r="A4567" t="s">
        <v>536</v>
      </c>
      <c r="B4567" t="s">
        <v>243</v>
      </c>
      <c r="C4567" s="2">
        <f>HYPERLINK("https://svao.dolgi.msk.ru/account/1760213257/", 1760213257)</f>
        <v>1760213257</v>
      </c>
      <c r="D4567">
        <v>7013.66</v>
      </c>
    </row>
    <row r="4568" spans="1:4" x14ac:dyDescent="0.25">
      <c r="A4568" t="s">
        <v>536</v>
      </c>
      <c r="B4568" t="s">
        <v>121</v>
      </c>
      <c r="C4568" s="2">
        <f>HYPERLINK("https://svao.dolgi.msk.ru/account/1760213265/", 1760213265)</f>
        <v>1760213265</v>
      </c>
      <c r="D4568">
        <v>6525.21</v>
      </c>
    </row>
    <row r="4569" spans="1:4" x14ac:dyDescent="0.25">
      <c r="A4569" t="s">
        <v>536</v>
      </c>
      <c r="B4569" t="s">
        <v>134</v>
      </c>
      <c r="C4569" s="2">
        <f>HYPERLINK("https://svao.dolgi.msk.ru/account/1760213273/", 1760213273)</f>
        <v>1760213273</v>
      </c>
      <c r="D4569">
        <v>8351.59</v>
      </c>
    </row>
    <row r="4570" spans="1:4" x14ac:dyDescent="0.25">
      <c r="A4570" t="s">
        <v>536</v>
      </c>
      <c r="B4570" t="s">
        <v>244</v>
      </c>
      <c r="C4570" s="2">
        <f>HYPERLINK("https://svao.dolgi.msk.ru/account/1760213337/", 1760213337)</f>
        <v>1760213337</v>
      </c>
      <c r="D4570">
        <v>8058.59</v>
      </c>
    </row>
    <row r="4571" spans="1:4" x14ac:dyDescent="0.25">
      <c r="A4571" t="s">
        <v>536</v>
      </c>
      <c r="B4571" t="s">
        <v>35</v>
      </c>
      <c r="C4571" s="2">
        <f>HYPERLINK("https://svao.dolgi.msk.ru/account/1760213484/", 1760213484)</f>
        <v>1760213484</v>
      </c>
      <c r="D4571">
        <v>6543.98</v>
      </c>
    </row>
    <row r="4572" spans="1:4" x14ac:dyDescent="0.25">
      <c r="A4572" t="s">
        <v>536</v>
      </c>
      <c r="B4572" t="s">
        <v>99</v>
      </c>
      <c r="C4572" s="2">
        <f>HYPERLINK("https://svao.dolgi.msk.ru/account/1760213492/", 1760213492)</f>
        <v>1760213492</v>
      </c>
      <c r="D4572">
        <v>1103.55</v>
      </c>
    </row>
    <row r="4573" spans="1:4" x14ac:dyDescent="0.25">
      <c r="A4573" t="s">
        <v>536</v>
      </c>
      <c r="B4573" t="s">
        <v>135</v>
      </c>
      <c r="C4573" s="2">
        <f>HYPERLINK("https://svao.dolgi.msk.ru/account/1760213505/", 1760213505)</f>
        <v>1760213505</v>
      </c>
      <c r="D4573">
        <v>9986.9</v>
      </c>
    </row>
    <row r="4574" spans="1:4" x14ac:dyDescent="0.25">
      <c r="A4574" t="s">
        <v>536</v>
      </c>
      <c r="B4574" t="s">
        <v>86</v>
      </c>
      <c r="C4574" s="2">
        <f>HYPERLINK("https://svao.dolgi.msk.ru/account/1760213513/", 1760213513)</f>
        <v>1760213513</v>
      </c>
      <c r="D4574">
        <v>5858.48</v>
      </c>
    </row>
    <row r="4575" spans="1:4" x14ac:dyDescent="0.25">
      <c r="A4575" t="s">
        <v>536</v>
      </c>
      <c r="B4575" t="s">
        <v>333</v>
      </c>
      <c r="C4575" s="2">
        <f>HYPERLINK("https://svao.dolgi.msk.ru/account/1760213521/", 1760213521)</f>
        <v>1760213521</v>
      </c>
      <c r="D4575">
        <v>7451.52</v>
      </c>
    </row>
    <row r="4576" spans="1:4" x14ac:dyDescent="0.25">
      <c r="A4576" t="s">
        <v>536</v>
      </c>
      <c r="B4576" t="s">
        <v>37</v>
      </c>
      <c r="C4576" s="2">
        <f>HYPERLINK("https://svao.dolgi.msk.ru/account/1760213601/", 1760213601)</f>
        <v>1760213601</v>
      </c>
      <c r="D4576">
        <v>25584.48</v>
      </c>
    </row>
    <row r="4577" spans="1:4" x14ac:dyDescent="0.25">
      <c r="A4577" t="s">
        <v>536</v>
      </c>
      <c r="B4577" t="s">
        <v>247</v>
      </c>
      <c r="C4577" s="2">
        <f>HYPERLINK("https://svao.dolgi.msk.ru/account/1760213716/", 1760213716)</f>
        <v>1760213716</v>
      </c>
      <c r="D4577">
        <v>1121.3</v>
      </c>
    </row>
    <row r="4578" spans="1:4" x14ac:dyDescent="0.25">
      <c r="A4578" t="s">
        <v>536</v>
      </c>
      <c r="B4578" t="s">
        <v>305</v>
      </c>
      <c r="C4578" s="2">
        <f>HYPERLINK("https://svao.dolgi.msk.ru/account/1760213724/", 1760213724)</f>
        <v>1760213724</v>
      </c>
      <c r="D4578">
        <v>204921.09</v>
      </c>
    </row>
    <row r="4579" spans="1:4" x14ac:dyDescent="0.25">
      <c r="A4579" t="s">
        <v>536</v>
      </c>
      <c r="B4579" t="s">
        <v>45</v>
      </c>
      <c r="C4579" s="2">
        <f>HYPERLINK("https://svao.dolgi.msk.ru/account/1760213759/", 1760213759)</f>
        <v>1760213759</v>
      </c>
      <c r="D4579">
        <v>34131.06</v>
      </c>
    </row>
    <row r="4580" spans="1:4" x14ac:dyDescent="0.25">
      <c r="A4580" t="s">
        <v>536</v>
      </c>
      <c r="B4580" t="s">
        <v>248</v>
      </c>
      <c r="C4580" s="2">
        <f>HYPERLINK("https://svao.dolgi.msk.ru/account/1760213791/", 1760213791)</f>
        <v>1760213791</v>
      </c>
      <c r="D4580">
        <v>7376.52</v>
      </c>
    </row>
    <row r="4581" spans="1:4" x14ac:dyDescent="0.25">
      <c r="A4581" t="s">
        <v>536</v>
      </c>
      <c r="B4581" t="s">
        <v>248</v>
      </c>
      <c r="C4581" s="2">
        <f>HYPERLINK("https://svao.dolgi.msk.ru/account/1760271094/", 1760271094)</f>
        <v>1760271094</v>
      </c>
      <c r="D4581">
        <v>2363.2600000000002</v>
      </c>
    </row>
    <row r="4582" spans="1:4" x14ac:dyDescent="0.25">
      <c r="A4582" t="s">
        <v>536</v>
      </c>
      <c r="B4582" t="s">
        <v>47</v>
      </c>
      <c r="C4582" s="2">
        <f>HYPERLINK("https://svao.dolgi.msk.ru/account/1760213855/", 1760213855)</f>
        <v>1760213855</v>
      </c>
      <c r="D4582">
        <v>211763.44</v>
      </c>
    </row>
    <row r="4583" spans="1:4" x14ac:dyDescent="0.25">
      <c r="A4583" t="s">
        <v>536</v>
      </c>
      <c r="B4583" t="s">
        <v>251</v>
      </c>
      <c r="C4583" s="2">
        <f>HYPERLINK("https://svao.dolgi.msk.ru/account/1760213943/", 1760213943)</f>
        <v>1760213943</v>
      </c>
      <c r="D4583">
        <v>3339.92</v>
      </c>
    </row>
    <row r="4584" spans="1:4" x14ac:dyDescent="0.25">
      <c r="A4584" t="s">
        <v>536</v>
      </c>
      <c r="B4584" t="s">
        <v>252</v>
      </c>
      <c r="C4584" s="2">
        <f>HYPERLINK("https://svao.dolgi.msk.ru/account/1760213951/", 1760213951)</f>
        <v>1760213951</v>
      </c>
      <c r="D4584">
        <v>23516.240000000002</v>
      </c>
    </row>
    <row r="4585" spans="1:4" x14ac:dyDescent="0.25">
      <c r="A4585" t="s">
        <v>536</v>
      </c>
      <c r="B4585" t="s">
        <v>306</v>
      </c>
      <c r="C4585" s="2">
        <f>HYPERLINK("https://svao.dolgi.msk.ru/account/1760213978/", 1760213978)</f>
        <v>1760213978</v>
      </c>
      <c r="D4585">
        <v>5016.91</v>
      </c>
    </row>
    <row r="4586" spans="1:4" x14ac:dyDescent="0.25">
      <c r="A4586" t="s">
        <v>536</v>
      </c>
      <c r="B4586" t="s">
        <v>50</v>
      </c>
      <c r="C4586" s="2">
        <f>HYPERLINK("https://svao.dolgi.msk.ru/account/1760213986/", 1760213986)</f>
        <v>1760213986</v>
      </c>
      <c r="D4586">
        <v>142.41</v>
      </c>
    </row>
    <row r="4587" spans="1:4" x14ac:dyDescent="0.25">
      <c r="A4587" t="s">
        <v>536</v>
      </c>
      <c r="B4587" t="s">
        <v>50</v>
      </c>
      <c r="C4587" s="2">
        <f>HYPERLINK("https://svao.dolgi.msk.ru/account/1760255609/", 1760255609)</f>
        <v>1760255609</v>
      </c>
      <c r="D4587">
        <v>5385.31</v>
      </c>
    </row>
    <row r="4588" spans="1:4" x14ac:dyDescent="0.25">
      <c r="A4588" t="s">
        <v>536</v>
      </c>
      <c r="B4588" t="s">
        <v>51</v>
      </c>
      <c r="C4588" s="2">
        <f>HYPERLINK("https://svao.dolgi.msk.ru/account/1760213994/", 1760213994)</f>
        <v>1760213994</v>
      </c>
      <c r="D4588">
        <v>7090.34</v>
      </c>
    </row>
    <row r="4589" spans="1:4" x14ac:dyDescent="0.25">
      <c r="A4589" t="s">
        <v>536</v>
      </c>
      <c r="B4589" t="s">
        <v>331</v>
      </c>
      <c r="C4589" s="2">
        <f>HYPERLINK("https://svao.dolgi.msk.ru/account/1760214014/", 1760214014)</f>
        <v>1760214014</v>
      </c>
      <c r="D4589">
        <v>3320.15</v>
      </c>
    </row>
    <row r="4590" spans="1:4" x14ac:dyDescent="0.25">
      <c r="A4590" t="s">
        <v>536</v>
      </c>
      <c r="B4590" t="s">
        <v>52</v>
      </c>
      <c r="C4590" s="2">
        <f>HYPERLINK("https://svao.dolgi.msk.ru/account/1760214022/", 1760214022)</f>
        <v>1760214022</v>
      </c>
      <c r="D4590">
        <v>3263.58</v>
      </c>
    </row>
    <row r="4591" spans="1:4" x14ac:dyDescent="0.25">
      <c r="A4591" t="s">
        <v>536</v>
      </c>
      <c r="B4591" t="s">
        <v>148</v>
      </c>
      <c r="C4591" s="2">
        <f>HYPERLINK("https://svao.dolgi.msk.ru/account/1760214057/", 1760214057)</f>
        <v>1760214057</v>
      </c>
      <c r="D4591">
        <v>7136.54</v>
      </c>
    </row>
    <row r="4592" spans="1:4" x14ac:dyDescent="0.25">
      <c r="A4592" t="s">
        <v>536</v>
      </c>
      <c r="B4592" t="s">
        <v>53</v>
      </c>
      <c r="C4592" s="2">
        <f>HYPERLINK("https://svao.dolgi.msk.ru/account/1760214188/", 1760214188)</f>
        <v>1760214188</v>
      </c>
      <c r="D4592">
        <v>5326.14</v>
      </c>
    </row>
    <row r="4593" spans="1:4" x14ac:dyDescent="0.25">
      <c r="A4593" t="s">
        <v>536</v>
      </c>
      <c r="B4593" t="s">
        <v>54</v>
      </c>
      <c r="C4593" s="2">
        <f>HYPERLINK("https://svao.dolgi.msk.ru/account/1760214209/", 1760214209)</f>
        <v>1760214209</v>
      </c>
      <c r="D4593">
        <v>7005.17</v>
      </c>
    </row>
    <row r="4594" spans="1:4" x14ac:dyDescent="0.25">
      <c r="A4594" t="s">
        <v>536</v>
      </c>
      <c r="B4594" t="s">
        <v>309</v>
      </c>
      <c r="C4594" s="2">
        <f>HYPERLINK("https://svao.dolgi.msk.ru/account/1760214233/", 1760214233)</f>
        <v>1760214233</v>
      </c>
      <c r="D4594">
        <v>7580.73</v>
      </c>
    </row>
    <row r="4595" spans="1:4" x14ac:dyDescent="0.25">
      <c r="A4595" t="s">
        <v>536</v>
      </c>
      <c r="B4595" t="s">
        <v>153</v>
      </c>
      <c r="C4595" s="2">
        <f>HYPERLINK("https://svao.dolgi.msk.ru/account/1760214348/", 1760214348)</f>
        <v>1760214348</v>
      </c>
      <c r="D4595">
        <v>5093.4799999999996</v>
      </c>
    </row>
    <row r="4596" spans="1:4" x14ac:dyDescent="0.25">
      <c r="A4596" t="s">
        <v>536</v>
      </c>
      <c r="B4596" t="s">
        <v>327</v>
      </c>
      <c r="C4596" s="2">
        <f>HYPERLINK("https://svao.dolgi.msk.ru/account/1760214356/", 1760214356)</f>
        <v>1760214356</v>
      </c>
      <c r="D4596">
        <v>57732.81</v>
      </c>
    </row>
    <row r="4597" spans="1:4" x14ac:dyDescent="0.25">
      <c r="A4597" t="s">
        <v>536</v>
      </c>
      <c r="B4597" t="s">
        <v>312</v>
      </c>
      <c r="C4597" s="2">
        <f>HYPERLINK("https://svao.dolgi.msk.ru/account/1760214428/", 1760214428)</f>
        <v>1760214428</v>
      </c>
      <c r="D4597">
        <v>3878.96</v>
      </c>
    </row>
    <row r="4598" spans="1:4" x14ac:dyDescent="0.25">
      <c r="A4598" t="s">
        <v>536</v>
      </c>
      <c r="B4598" t="s">
        <v>157</v>
      </c>
      <c r="C4598" s="2">
        <f>HYPERLINK("https://svao.dolgi.msk.ru/account/1760214479/", 1760214479)</f>
        <v>1760214479</v>
      </c>
      <c r="D4598">
        <v>6153.81</v>
      </c>
    </row>
    <row r="4599" spans="1:4" x14ac:dyDescent="0.25">
      <c r="A4599" t="s">
        <v>536</v>
      </c>
      <c r="B4599" t="s">
        <v>429</v>
      </c>
      <c r="C4599" s="2">
        <f>HYPERLINK("https://svao.dolgi.msk.ru/account/1760214487/", 1760214487)</f>
        <v>1760214487</v>
      </c>
      <c r="D4599">
        <v>10245.209999999999</v>
      </c>
    </row>
    <row r="4600" spans="1:4" x14ac:dyDescent="0.25">
      <c r="A4600" t="s">
        <v>536</v>
      </c>
      <c r="B4600" t="s">
        <v>340</v>
      </c>
      <c r="C4600" s="2">
        <f>HYPERLINK("https://svao.dolgi.msk.ru/account/1760214495/", 1760214495)</f>
        <v>1760214495</v>
      </c>
      <c r="D4600">
        <v>8808.93</v>
      </c>
    </row>
    <row r="4601" spans="1:4" x14ac:dyDescent="0.25">
      <c r="A4601" t="s">
        <v>536</v>
      </c>
      <c r="B4601" t="s">
        <v>57</v>
      </c>
      <c r="C4601" s="2">
        <f>HYPERLINK("https://svao.dolgi.msk.ru/account/1760214524/", 1760214524)</f>
        <v>1760214524</v>
      </c>
      <c r="D4601">
        <v>7793.99</v>
      </c>
    </row>
    <row r="4602" spans="1:4" x14ac:dyDescent="0.25">
      <c r="A4602" t="s">
        <v>536</v>
      </c>
      <c r="B4602" t="s">
        <v>336</v>
      </c>
      <c r="C4602" s="2">
        <f>HYPERLINK("https://svao.dolgi.msk.ru/account/1760214583/", 1760214583)</f>
        <v>1760214583</v>
      </c>
      <c r="D4602">
        <v>4210.76</v>
      </c>
    </row>
    <row r="4603" spans="1:4" x14ac:dyDescent="0.25">
      <c r="A4603" t="s">
        <v>536</v>
      </c>
      <c r="B4603" t="s">
        <v>61</v>
      </c>
      <c r="C4603" s="2">
        <f>HYPERLINK("https://svao.dolgi.msk.ru/account/1760214647/", 1760214647)</f>
        <v>1760214647</v>
      </c>
      <c r="D4603">
        <v>5300.47</v>
      </c>
    </row>
    <row r="4604" spans="1:4" x14ac:dyDescent="0.25">
      <c r="A4604" t="s">
        <v>536</v>
      </c>
      <c r="B4604" t="s">
        <v>257</v>
      </c>
      <c r="C4604" s="2">
        <f>HYPERLINK("https://svao.dolgi.msk.ru/account/1760214671/", 1760214671)</f>
        <v>1760214671</v>
      </c>
      <c r="D4604">
        <v>6655.93</v>
      </c>
    </row>
    <row r="4605" spans="1:4" x14ac:dyDescent="0.25">
      <c r="A4605" t="s">
        <v>536</v>
      </c>
      <c r="B4605" t="s">
        <v>345</v>
      </c>
      <c r="C4605" s="2">
        <f>HYPERLINK("https://svao.dolgi.msk.ru/account/1760214743/", 1760214743)</f>
        <v>1760214743</v>
      </c>
      <c r="D4605">
        <v>4678.07</v>
      </c>
    </row>
    <row r="4606" spans="1:4" x14ac:dyDescent="0.25">
      <c r="A4606" t="s">
        <v>536</v>
      </c>
      <c r="B4606" t="s">
        <v>65</v>
      </c>
      <c r="C4606" s="2">
        <f>HYPERLINK("https://svao.dolgi.msk.ru/account/1760214778/", 1760214778)</f>
        <v>1760214778</v>
      </c>
      <c r="D4606">
        <v>1474.52</v>
      </c>
    </row>
    <row r="4607" spans="1:4" x14ac:dyDescent="0.25">
      <c r="A4607" t="s">
        <v>536</v>
      </c>
      <c r="B4607" t="s">
        <v>67</v>
      </c>
      <c r="C4607" s="2">
        <f>HYPERLINK("https://svao.dolgi.msk.ru/account/1760214823/", 1760214823)</f>
        <v>1760214823</v>
      </c>
      <c r="D4607">
        <v>7604.76</v>
      </c>
    </row>
    <row r="4608" spans="1:4" x14ac:dyDescent="0.25">
      <c r="A4608" t="s">
        <v>536</v>
      </c>
      <c r="B4608" t="s">
        <v>380</v>
      </c>
      <c r="C4608" s="2">
        <f>HYPERLINK("https://svao.dolgi.msk.ru/account/1760214866/", 1760214866)</f>
        <v>1760214866</v>
      </c>
      <c r="D4608">
        <v>8441.9</v>
      </c>
    </row>
    <row r="4609" spans="1:4" x14ac:dyDescent="0.25">
      <c r="A4609" t="s">
        <v>536</v>
      </c>
      <c r="B4609" t="s">
        <v>258</v>
      </c>
      <c r="C4609" s="2">
        <f>HYPERLINK("https://svao.dolgi.msk.ru/account/1760214882/", 1760214882)</f>
        <v>1760214882</v>
      </c>
      <c r="D4609">
        <v>141.85</v>
      </c>
    </row>
    <row r="4610" spans="1:4" x14ac:dyDescent="0.25">
      <c r="A4610" t="s">
        <v>536</v>
      </c>
      <c r="B4610" t="s">
        <v>162</v>
      </c>
      <c r="C4610" s="2">
        <f>HYPERLINK("https://svao.dolgi.msk.ru/account/1760214903/", 1760214903)</f>
        <v>1760214903</v>
      </c>
      <c r="D4610">
        <v>494.74</v>
      </c>
    </row>
    <row r="4611" spans="1:4" x14ac:dyDescent="0.25">
      <c r="A4611" t="s">
        <v>536</v>
      </c>
      <c r="B4611" t="s">
        <v>68</v>
      </c>
      <c r="C4611" s="2">
        <f>HYPERLINK("https://svao.dolgi.msk.ru/account/1760214938/", 1760214938)</f>
        <v>1760214938</v>
      </c>
      <c r="D4611">
        <v>4581.76</v>
      </c>
    </row>
    <row r="4612" spans="1:4" x14ac:dyDescent="0.25">
      <c r="A4612" t="s">
        <v>536</v>
      </c>
      <c r="B4612" t="s">
        <v>164</v>
      </c>
      <c r="C4612" s="2">
        <f>HYPERLINK("https://svao.dolgi.msk.ru/account/1760214962/", 1760214962)</f>
        <v>1760214962</v>
      </c>
      <c r="D4612">
        <v>8193.49</v>
      </c>
    </row>
    <row r="4613" spans="1:4" x14ac:dyDescent="0.25">
      <c r="A4613" t="s">
        <v>536</v>
      </c>
      <c r="B4613" t="s">
        <v>260</v>
      </c>
      <c r="C4613" s="2">
        <f>HYPERLINK("https://svao.dolgi.msk.ru/account/1760214997/", 1760214997)</f>
        <v>1760214997</v>
      </c>
      <c r="D4613">
        <v>524859.66</v>
      </c>
    </row>
    <row r="4614" spans="1:4" x14ac:dyDescent="0.25">
      <c r="A4614" t="s">
        <v>536</v>
      </c>
      <c r="B4614" t="s">
        <v>70</v>
      </c>
      <c r="C4614" s="2">
        <f>HYPERLINK("https://svao.dolgi.msk.ru/account/1760215009/", 1760215009)</f>
        <v>1760215009</v>
      </c>
      <c r="D4614">
        <v>7972.25</v>
      </c>
    </row>
    <row r="4615" spans="1:4" x14ac:dyDescent="0.25">
      <c r="A4615" t="s">
        <v>536</v>
      </c>
      <c r="B4615" t="s">
        <v>167</v>
      </c>
      <c r="C4615" s="2">
        <f>HYPERLINK("https://svao.dolgi.msk.ru/account/1760215105/", 1760215105)</f>
        <v>1760215105</v>
      </c>
      <c r="D4615">
        <v>8835.81</v>
      </c>
    </row>
    <row r="4616" spans="1:4" x14ac:dyDescent="0.25">
      <c r="A4616" t="s">
        <v>536</v>
      </c>
      <c r="B4616" t="s">
        <v>454</v>
      </c>
      <c r="C4616" s="2">
        <f>HYPERLINK("https://svao.dolgi.msk.ru/account/1760215121/", 1760215121)</f>
        <v>1760215121</v>
      </c>
      <c r="D4616">
        <v>9446.1299999999992</v>
      </c>
    </row>
    <row r="4617" spans="1:4" x14ac:dyDescent="0.25">
      <c r="A4617" t="s">
        <v>536</v>
      </c>
      <c r="B4617" t="s">
        <v>418</v>
      </c>
      <c r="C4617" s="2">
        <f>HYPERLINK("https://svao.dolgi.msk.ru/account/1760215148/", 1760215148)</f>
        <v>1760215148</v>
      </c>
      <c r="D4617">
        <v>6272.33</v>
      </c>
    </row>
    <row r="4618" spans="1:4" x14ac:dyDescent="0.25">
      <c r="A4618" t="s">
        <v>536</v>
      </c>
      <c r="B4618" t="s">
        <v>168</v>
      </c>
      <c r="C4618" s="2">
        <f>HYPERLINK("https://svao.dolgi.msk.ru/account/1760215156/", 1760215156)</f>
        <v>1760215156</v>
      </c>
      <c r="D4618">
        <v>10342.32</v>
      </c>
    </row>
    <row r="4619" spans="1:4" x14ac:dyDescent="0.25">
      <c r="A4619" t="s">
        <v>536</v>
      </c>
      <c r="B4619" t="s">
        <v>170</v>
      </c>
      <c r="C4619" s="2">
        <f>HYPERLINK("https://svao.dolgi.msk.ru/account/1760215201/", 1760215201)</f>
        <v>1760215201</v>
      </c>
      <c r="D4619">
        <v>9127.32</v>
      </c>
    </row>
    <row r="4620" spans="1:4" x14ac:dyDescent="0.25">
      <c r="A4620" t="s">
        <v>536</v>
      </c>
      <c r="B4620" t="s">
        <v>436</v>
      </c>
      <c r="C4620" s="2">
        <f>HYPERLINK("https://svao.dolgi.msk.ru/account/1760215308/", 1760215308)</f>
        <v>1760215308</v>
      </c>
      <c r="D4620">
        <v>5654.27</v>
      </c>
    </row>
    <row r="4621" spans="1:4" x14ac:dyDescent="0.25">
      <c r="A4621" t="s">
        <v>536</v>
      </c>
      <c r="B4621" t="s">
        <v>350</v>
      </c>
      <c r="C4621" s="2">
        <f>HYPERLINK("https://svao.dolgi.msk.ru/account/1760215367/", 1760215367)</f>
        <v>1760215367</v>
      </c>
      <c r="D4621">
        <v>14360.58</v>
      </c>
    </row>
    <row r="4622" spans="1:4" x14ac:dyDescent="0.25">
      <c r="A4622" t="s">
        <v>536</v>
      </c>
      <c r="B4622" t="s">
        <v>351</v>
      </c>
      <c r="C4622" s="2">
        <f>HYPERLINK("https://svao.dolgi.msk.ru/account/1760215375/", 1760215375)</f>
        <v>1760215375</v>
      </c>
      <c r="D4622">
        <v>128.97</v>
      </c>
    </row>
    <row r="4623" spans="1:4" x14ac:dyDescent="0.25">
      <c r="A4623" t="s">
        <v>536</v>
      </c>
      <c r="B4623" t="s">
        <v>174</v>
      </c>
      <c r="C4623" s="2">
        <f>HYPERLINK("https://svao.dolgi.msk.ru/account/1760215455/", 1760215455)</f>
        <v>1760215455</v>
      </c>
      <c r="D4623">
        <v>8563.24</v>
      </c>
    </row>
    <row r="4624" spans="1:4" x14ac:dyDescent="0.25">
      <c r="A4624" t="s">
        <v>536</v>
      </c>
      <c r="B4624" t="s">
        <v>504</v>
      </c>
      <c r="C4624" s="2">
        <f>HYPERLINK("https://svao.dolgi.msk.ru/account/1760215543/", 1760215543)</f>
        <v>1760215543</v>
      </c>
      <c r="D4624">
        <v>6248.32</v>
      </c>
    </row>
    <row r="4625" spans="1:4" x14ac:dyDescent="0.25">
      <c r="A4625" t="s">
        <v>536</v>
      </c>
      <c r="B4625" t="s">
        <v>437</v>
      </c>
      <c r="C4625" s="2">
        <f>HYPERLINK("https://svao.dolgi.msk.ru/account/1760215746/", 1760215746)</f>
        <v>1760215746</v>
      </c>
      <c r="D4625">
        <v>9909.7900000000009</v>
      </c>
    </row>
    <row r="4626" spans="1:4" x14ac:dyDescent="0.25">
      <c r="A4626" t="s">
        <v>536</v>
      </c>
      <c r="B4626" t="s">
        <v>535</v>
      </c>
      <c r="C4626" s="2">
        <f>HYPERLINK("https://svao.dolgi.msk.ru/account/1760215762/", 1760215762)</f>
        <v>1760215762</v>
      </c>
      <c r="D4626">
        <v>4377.79</v>
      </c>
    </row>
    <row r="4627" spans="1:4" x14ac:dyDescent="0.25">
      <c r="A4627" t="s">
        <v>536</v>
      </c>
      <c r="B4627" t="s">
        <v>422</v>
      </c>
      <c r="C4627" s="2">
        <f>HYPERLINK("https://svao.dolgi.msk.ru/account/1760215906/", 1760215906)</f>
        <v>1760215906</v>
      </c>
      <c r="D4627">
        <v>10312.129999999999</v>
      </c>
    </row>
    <row r="4628" spans="1:4" x14ac:dyDescent="0.25">
      <c r="A4628" t="s">
        <v>536</v>
      </c>
      <c r="B4628" t="s">
        <v>357</v>
      </c>
      <c r="C4628" s="2">
        <f>HYPERLINK("https://svao.dolgi.msk.ru/account/1760215914/", 1760215914)</f>
        <v>1760215914</v>
      </c>
      <c r="D4628">
        <v>146756.19</v>
      </c>
    </row>
    <row r="4629" spans="1:4" x14ac:dyDescent="0.25">
      <c r="A4629" t="s">
        <v>536</v>
      </c>
      <c r="B4629" t="s">
        <v>276</v>
      </c>
      <c r="C4629" s="2">
        <f>HYPERLINK("https://svao.dolgi.msk.ru/account/1760215949/", 1760215949)</f>
        <v>1760215949</v>
      </c>
      <c r="D4629">
        <v>7176.34</v>
      </c>
    </row>
    <row r="4630" spans="1:4" x14ac:dyDescent="0.25">
      <c r="A4630" t="s">
        <v>536</v>
      </c>
      <c r="B4630" t="s">
        <v>537</v>
      </c>
      <c r="C4630" s="2">
        <f>HYPERLINK("https://svao.dolgi.msk.ru/account/1760216044/", 1760216044)</f>
        <v>1760216044</v>
      </c>
      <c r="D4630">
        <v>23704.19</v>
      </c>
    </row>
    <row r="4631" spans="1:4" x14ac:dyDescent="0.25">
      <c r="A4631" t="s">
        <v>536</v>
      </c>
      <c r="B4631" t="s">
        <v>186</v>
      </c>
      <c r="C4631" s="2">
        <f>HYPERLINK("https://svao.dolgi.msk.ru/account/1760216079/", 1760216079)</f>
        <v>1760216079</v>
      </c>
      <c r="D4631">
        <v>4232.1400000000003</v>
      </c>
    </row>
    <row r="4632" spans="1:4" x14ac:dyDescent="0.25">
      <c r="A4632" t="s">
        <v>536</v>
      </c>
      <c r="B4632" t="s">
        <v>358</v>
      </c>
      <c r="C4632" s="2">
        <f>HYPERLINK("https://svao.dolgi.msk.ru/account/1760216095/", 1760216095)</f>
        <v>1760216095</v>
      </c>
      <c r="D4632">
        <v>739.14</v>
      </c>
    </row>
    <row r="4633" spans="1:4" x14ac:dyDescent="0.25">
      <c r="A4633" t="s">
        <v>536</v>
      </c>
      <c r="B4633" t="s">
        <v>358</v>
      </c>
      <c r="C4633" s="2">
        <f>HYPERLINK("https://svao.dolgi.msk.ru/account/1761793679/", 1761793679)</f>
        <v>1761793679</v>
      </c>
      <c r="D4633">
        <v>5563.93</v>
      </c>
    </row>
    <row r="4634" spans="1:4" x14ac:dyDescent="0.25">
      <c r="A4634" t="s">
        <v>536</v>
      </c>
      <c r="B4634" t="s">
        <v>506</v>
      </c>
      <c r="C4634" s="2">
        <f>HYPERLINK("https://svao.dolgi.msk.ru/account/1760216116/", 1760216116)</f>
        <v>1760216116</v>
      </c>
      <c r="D4634">
        <v>5349.02</v>
      </c>
    </row>
    <row r="4635" spans="1:4" x14ac:dyDescent="0.25">
      <c r="A4635" t="s">
        <v>536</v>
      </c>
      <c r="B4635" t="s">
        <v>187</v>
      </c>
      <c r="C4635" s="2">
        <f>HYPERLINK("https://svao.dolgi.msk.ru/account/1760216132/", 1760216132)</f>
        <v>1760216132</v>
      </c>
      <c r="D4635">
        <v>6061.18</v>
      </c>
    </row>
    <row r="4636" spans="1:4" x14ac:dyDescent="0.25">
      <c r="A4636" t="s">
        <v>538</v>
      </c>
      <c r="B4636" t="s">
        <v>6</v>
      </c>
      <c r="C4636" s="2">
        <f>HYPERLINK("https://svao.dolgi.msk.ru/account/1760208255/", 1760208255)</f>
        <v>1760208255</v>
      </c>
      <c r="D4636">
        <v>2617.17</v>
      </c>
    </row>
    <row r="4637" spans="1:4" x14ac:dyDescent="0.25">
      <c r="A4637" t="s">
        <v>538</v>
      </c>
      <c r="B4637" t="s">
        <v>41</v>
      </c>
      <c r="C4637" s="2">
        <f>HYPERLINK("https://svao.dolgi.msk.ru/account/1760204211/", 1760204211)</f>
        <v>1760204211</v>
      </c>
      <c r="D4637">
        <v>3695.67</v>
      </c>
    </row>
    <row r="4638" spans="1:4" x14ac:dyDescent="0.25">
      <c r="A4638" t="s">
        <v>538</v>
      </c>
      <c r="B4638" t="s">
        <v>7</v>
      </c>
      <c r="C4638" s="2">
        <f>HYPERLINK("https://svao.dolgi.msk.ru/account/1760208263/", 1760208263)</f>
        <v>1760208263</v>
      </c>
      <c r="D4638">
        <v>1365.02</v>
      </c>
    </row>
    <row r="4639" spans="1:4" x14ac:dyDescent="0.25">
      <c r="A4639" t="s">
        <v>538</v>
      </c>
      <c r="B4639" t="s">
        <v>103</v>
      </c>
      <c r="C4639" s="2">
        <f>HYPERLINK("https://svao.dolgi.msk.ru/account/1760204203/", 1760204203)</f>
        <v>1760204203</v>
      </c>
      <c r="D4639">
        <v>8992.36</v>
      </c>
    </row>
    <row r="4640" spans="1:4" x14ac:dyDescent="0.25">
      <c r="A4640" t="s">
        <v>538</v>
      </c>
      <c r="B4640" t="s">
        <v>104</v>
      </c>
      <c r="C4640" s="2">
        <f>HYPERLINK("https://svao.dolgi.msk.ru/account/1760204246/", 1760204246)</f>
        <v>1760204246</v>
      </c>
      <c r="D4640">
        <v>5576.48</v>
      </c>
    </row>
    <row r="4641" spans="1:4" x14ac:dyDescent="0.25">
      <c r="A4641" t="s">
        <v>538</v>
      </c>
      <c r="B4641" t="s">
        <v>75</v>
      </c>
      <c r="C4641" s="2">
        <f>HYPERLINK("https://svao.dolgi.msk.ru/account/1760204318/", 1760204318)</f>
        <v>1760204318</v>
      </c>
      <c r="D4641">
        <v>3233.68</v>
      </c>
    </row>
    <row r="4642" spans="1:4" x14ac:dyDescent="0.25">
      <c r="A4642" t="s">
        <v>538</v>
      </c>
      <c r="B4642" t="s">
        <v>219</v>
      </c>
      <c r="C4642" s="2">
        <f>HYPERLINK("https://svao.dolgi.msk.ru/account/1760204377/", 1760204377)</f>
        <v>1760204377</v>
      </c>
      <c r="D4642">
        <v>12461.24</v>
      </c>
    </row>
    <row r="4643" spans="1:4" x14ac:dyDescent="0.25">
      <c r="A4643" t="s">
        <v>538</v>
      </c>
      <c r="B4643" t="s">
        <v>11</v>
      </c>
      <c r="C4643" s="2">
        <f>HYPERLINK("https://svao.dolgi.msk.ru/account/1760204385/", 1760204385)</f>
        <v>1760204385</v>
      </c>
      <c r="D4643">
        <v>10120.82</v>
      </c>
    </row>
    <row r="4644" spans="1:4" x14ac:dyDescent="0.25">
      <c r="A4644" t="s">
        <v>538</v>
      </c>
      <c r="B4644" t="s">
        <v>12</v>
      </c>
      <c r="C4644" s="2">
        <f>HYPERLINK("https://svao.dolgi.msk.ru/account/1760204393/", 1760204393)</f>
        <v>1760204393</v>
      </c>
      <c r="D4644">
        <v>5458.15</v>
      </c>
    </row>
    <row r="4645" spans="1:4" x14ac:dyDescent="0.25">
      <c r="A4645" t="s">
        <v>538</v>
      </c>
      <c r="B4645" t="s">
        <v>13</v>
      </c>
      <c r="C4645" s="2">
        <f>HYPERLINK("https://svao.dolgi.msk.ru/account/1760204406/", 1760204406)</f>
        <v>1760204406</v>
      </c>
      <c r="D4645">
        <v>2163.21</v>
      </c>
    </row>
    <row r="4646" spans="1:4" x14ac:dyDescent="0.25">
      <c r="A4646" t="s">
        <v>538</v>
      </c>
      <c r="B4646" t="s">
        <v>14</v>
      </c>
      <c r="C4646" s="2">
        <f>HYPERLINK("https://svao.dolgi.msk.ru/account/1760204414/", 1760204414)</f>
        <v>1760204414</v>
      </c>
      <c r="D4646">
        <v>42867.07</v>
      </c>
    </row>
    <row r="4647" spans="1:4" x14ac:dyDescent="0.25">
      <c r="A4647" t="s">
        <v>538</v>
      </c>
      <c r="B4647" t="s">
        <v>109</v>
      </c>
      <c r="C4647" s="2">
        <f>HYPERLINK("https://svao.dolgi.msk.ru/account/1760204545/", 1760204545)</f>
        <v>1760204545</v>
      </c>
      <c r="D4647">
        <v>9223.56</v>
      </c>
    </row>
    <row r="4648" spans="1:4" x14ac:dyDescent="0.25">
      <c r="A4648" t="s">
        <v>538</v>
      </c>
      <c r="B4648" t="s">
        <v>20</v>
      </c>
      <c r="C4648" s="2">
        <f>HYPERLINK("https://svao.dolgi.msk.ru/account/1760204561/", 1760204561)</f>
        <v>1760204561</v>
      </c>
      <c r="D4648">
        <v>4173</v>
      </c>
    </row>
    <row r="4649" spans="1:4" x14ac:dyDescent="0.25">
      <c r="A4649" t="s">
        <v>538</v>
      </c>
      <c r="B4649" t="s">
        <v>111</v>
      </c>
      <c r="C4649" s="2">
        <f>HYPERLINK("https://svao.dolgi.msk.ru/account/1760204625/", 1760204625)</f>
        <v>1760204625</v>
      </c>
      <c r="D4649">
        <v>3042.3</v>
      </c>
    </row>
    <row r="4650" spans="1:4" x14ac:dyDescent="0.25">
      <c r="A4650" t="s">
        <v>538</v>
      </c>
      <c r="B4650" t="s">
        <v>22</v>
      </c>
      <c r="C4650" s="2">
        <f>HYPERLINK("https://svao.dolgi.msk.ru/account/1760204713/", 1760204713)</f>
        <v>1760204713</v>
      </c>
      <c r="D4650">
        <v>4521.04</v>
      </c>
    </row>
    <row r="4651" spans="1:4" x14ac:dyDescent="0.25">
      <c r="A4651" t="s">
        <v>538</v>
      </c>
      <c r="B4651" t="s">
        <v>23</v>
      </c>
      <c r="C4651" s="2">
        <f>HYPERLINK("https://svao.dolgi.msk.ru/account/1760204748/", 1760204748)</f>
        <v>1760204748</v>
      </c>
      <c r="D4651">
        <v>6690.6</v>
      </c>
    </row>
    <row r="4652" spans="1:4" x14ac:dyDescent="0.25">
      <c r="A4652" t="s">
        <v>538</v>
      </c>
      <c r="B4652" t="s">
        <v>117</v>
      </c>
      <c r="C4652" s="2">
        <f>HYPERLINK("https://svao.dolgi.msk.ru/account/1760204764/", 1760204764)</f>
        <v>1760204764</v>
      </c>
      <c r="D4652">
        <v>7338.91</v>
      </c>
    </row>
    <row r="4653" spans="1:4" x14ac:dyDescent="0.25">
      <c r="A4653" t="s">
        <v>538</v>
      </c>
      <c r="B4653" t="s">
        <v>320</v>
      </c>
      <c r="C4653" s="2">
        <f>HYPERLINK("https://svao.dolgi.msk.ru/account/1760204799/", 1760204799)</f>
        <v>1760204799</v>
      </c>
      <c r="D4653">
        <v>7267.86</v>
      </c>
    </row>
    <row r="4654" spans="1:4" x14ac:dyDescent="0.25">
      <c r="A4654" t="s">
        <v>538</v>
      </c>
      <c r="B4654" t="s">
        <v>242</v>
      </c>
      <c r="C4654" s="2">
        <f>HYPERLINK("https://svao.dolgi.msk.ru/account/1760204836/", 1760204836)</f>
        <v>1760204836</v>
      </c>
      <c r="D4654">
        <v>1937.39</v>
      </c>
    </row>
    <row r="4655" spans="1:4" x14ac:dyDescent="0.25">
      <c r="A4655" t="s">
        <v>538</v>
      </c>
      <c r="B4655" t="s">
        <v>95</v>
      </c>
      <c r="C4655" s="2">
        <f>HYPERLINK("https://svao.dolgi.msk.ru/account/1760204844/", 1760204844)</f>
        <v>1760204844</v>
      </c>
      <c r="D4655">
        <v>4887.18</v>
      </c>
    </row>
    <row r="4656" spans="1:4" x14ac:dyDescent="0.25">
      <c r="A4656" t="s">
        <v>538</v>
      </c>
      <c r="B4656" t="s">
        <v>131</v>
      </c>
      <c r="C4656" s="2">
        <f>HYPERLINK("https://svao.dolgi.msk.ru/account/1760204852/", 1760204852)</f>
        <v>1760204852</v>
      </c>
      <c r="D4656">
        <v>6421.19</v>
      </c>
    </row>
    <row r="4657" spans="1:4" x14ac:dyDescent="0.25">
      <c r="A4657" t="s">
        <v>538</v>
      </c>
      <c r="B4657" t="s">
        <v>80</v>
      </c>
      <c r="C4657" s="2">
        <f>HYPERLINK("https://svao.dolgi.msk.ru/account/1761791796/", 1761791796)</f>
        <v>1761791796</v>
      </c>
      <c r="D4657">
        <v>2453.92</v>
      </c>
    </row>
    <row r="4658" spans="1:4" x14ac:dyDescent="0.25">
      <c r="A4658" t="s">
        <v>538</v>
      </c>
      <c r="B4658" t="s">
        <v>81</v>
      </c>
      <c r="C4658" s="2">
        <f>HYPERLINK("https://svao.dolgi.msk.ru/account/1760204959/", 1760204959)</f>
        <v>1760204959</v>
      </c>
      <c r="D4658">
        <v>5623.85</v>
      </c>
    </row>
    <row r="4659" spans="1:4" x14ac:dyDescent="0.25">
      <c r="A4659" t="s">
        <v>538</v>
      </c>
      <c r="B4659" t="s">
        <v>120</v>
      </c>
      <c r="C4659" s="2">
        <f>HYPERLINK("https://svao.dolgi.msk.ru/account/1760204975/", 1760204975)</f>
        <v>1760204975</v>
      </c>
      <c r="D4659">
        <v>3732.26</v>
      </c>
    </row>
    <row r="4660" spans="1:4" x14ac:dyDescent="0.25">
      <c r="A4660" t="s">
        <v>538</v>
      </c>
      <c r="B4660" t="s">
        <v>243</v>
      </c>
      <c r="C4660" s="2">
        <f>HYPERLINK("https://svao.dolgi.msk.ru/account/1760205126/", 1760205126)</f>
        <v>1760205126</v>
      </c>
      <c r="D4660">
        <v>7798.07</v>
      </c>
    </row>
    <row r="4661" spans="1:4" x14ac:dyDescent="0.25">
      <c r="A4661" t="s">
        <v>538</v>
      </c>
      <c r="B4661" t="s">
        <v>139</v>
      </c>
      <c r="C4661" s="2">
        <f>HYPERLINK("https://svao.dolgi.msk.ru/account/1760205169/", 1760205169)</f>
        <v>1760205169</v>
      </c>
      <c r="D4661">
        <v>5621.94</v>
      </c>
    </row>
    <row r="4662" spans="1:4" x14ac:dyDescent="0.25">
      <c r="A4662" t="s">
        <v>538</v>
      </c>
      <c r="B4662" t="s">
        <v>245</v>
      </c>
      <c r="C4662" s="2">
        <f>HYPERLINK("https://svao.dolgi.msk.ru/account/1760205281/", 1760205281)</f>
        <v>1760205281</v>
      </c>
      <c r="D4662">
        <v>11027.95</v>
      </c>
    </row>
    <row r="4663" spans="1:4" x14ac:dyDescent="0.25">
      <c r="A4663" t="s">
        <v>538</v>
      </c>
      <c r="B4663" t="s">
        <v>34</v>
      </c>
      <c r="C4663" s="2">
        <f>HYPERLINK("https://svao.dolgi.msk.ru/account/1760205345/", 1760205345)</f>
        <v>1760205345</v>
      </c>
      <c r="D4663">
        <v>15304.77</v>
      </c>
    </row>
    <row r="4664" spans="1:4" x14ac:dyDescent="0.25">
      <c r="A4664" t="s">
        <v>538</v>
      </c>
      <c r="B4664" t="s">
        <v>35</v>
      </c>
      <c r="C4664" s="2">
        <f>HYPERLINK("https://svao.dolgi.msk.ru/account/1760205353/", 1760205353)</f>
        <v>1760205353</v>
      </c>
      <c r="D4664">
        <v>1739.59</v>
      </c>
    </row>
    <row r="4665" spans="1:4" x14ac:dyDescent="0.25">
      <c r="A4665" t="s">
        <v>538</v>
      </c>
      <c r="B4665" t="s">
        <v>135</v>
      </c>
      <c r="C4665" s="2">
        <f>HYPERLINK("https://svao.dolgi.msk.ru/account/1760205388/", 1760205388)</f>
        <v>1760205388</v>
      </c>
      <c r="D4665">
        <v>379.43</v>
      </c>
    </row>
    <row r="4666" spans="1:4" x14ac:dyDescent="0.25">
      <c r="A4666" t="s">
        <v>538</v>
      </c>
      <c r="B4666" t="s">
        <v>86</v>
      </c>
      <c r="C4666" s="2">
        <f>HYPERLINK("https://svao.dolgi.msk.ru/account/1760205396/", 1760205396)</f>
        <v>1760205396</v>
      </c>
      <c r="D4666">
        <v>9265.64</v>
      </c>
    </row>
    <row r="4667" spans="1:4" x14ac:dyDescent="0.25">
      <c r="A4667" t="s">
        <v>538</v>
      </c>
      <c r="B4667" t="s">
        <v>87</v>
      </c>
      <c r="C4667" s="2">
        <f>HYPERLINK("https://svao.dolgi.msk.ru/account/1760205417/", 1760205417)</f>
        <v>1760205417</v>
      </c>
      <c r="D4667">
        <v>9968.31</v>
      </c>
    </row>
    <row r="4668" spans="1:4" x14ac:dyDescent="0.25">
      <c r="A4668" t="s">
        <v>538</v>
      </c>
      <c r="B4668" t="s">
        <v>36</v>
      </c>
      <c r="C4668" s="2">
        <f>HYPERLINK("https://svao.dolgi.msk.ru/account/1760205425/", 1760205425)</f>
        <v>1760205425</v>
      </c>
      <c r="D4668">
        <v>3429.97</v>
      </c>
    </row>
    <row r="4669" spans="1:4" x14ac:dyDescent="0.25">
      <c r="A4669" t="s">
        <v>538</v>
      </c>
      <c r="B4669" t="s">
        <v>88</v>
      </c>
      <c r="C4669" s="2">
        <f>HYPERLINK("https://svao.dolgi.msk.ru/account/1760205433/", 1760205433)</f>
        <v>1760205433</v>
      </c>
      <c r="D4669">
        <v>8405.09</v>
      </c>
    </row>
    <row r="4670" spans="1:4" x14ac:dyDescent="0.25">
      <c r="A4670" t="s">
        <v>538</v>
      </c>
      <c r="B4670" t="s">
        <v>293</v>
      </c>
      <c r="C4670" s="2">
        <f>HYPERLINK("https://svao.dolgi.msk.ru/account/1760205441/", 1760205441)</f>
        <v>1760205441</v>
      </c>
      <c r="D4670">
        <v>3070.95</v>
      </c>
    </row>
    <row r="4671" spans="1:4" x14ac:dyDescent="0.25">
      <c r="A4671" t="s">
        <v>538</v>
      </c>
      <c r="B4671" t="s">
        <v>37</v>
      </c>
      <c r="C4671" s="2">
        <f>HYPERLINK("https://svao.dolgi.msk.ru/account/1760205476/", 1760205476)</f>
        <v>1760205476</v>
      </c>
      <c r="D4671">
        <v>6170.55</v>
      </c>
    </row>
    <row r="4672" spans="1:4" x14ac:dyDescent="0.25">
      <c r="A4672" t="s">
        <v>538</v>
      </c>
      <c r="B4672" t="s">
        <v>40</v>
      </c>
      <c r="C4672" s="2">
        <f>HYPERLINK("https://svao.dolgi.msk.ru/account/1760205505/", 1760205505)</f>
        <v>1760205505</v>
      </c>
      <c r="D4672">
        <v>10145.65</v>
      </c>
    </row>
    <row r="4673" spans="1:4" x14ac:dyDescent="0.25">
      <c r="A4673" t="s">
        <v>538</v>
      </c>
      <c r="B4673" t="s">
        <v>305</v>
      </c>
      <c r="C4673" s="2">
        <f>HYPERLINK("https://svao.dolgi.msk.ru/account/1760205599/", 1760205599)</f>
        <v>1760205599</v>
      </c>
      <c r="D4673">
        <v>1851.99</v>
      </c>
    </row>
    <row r="4674" spans="1:4" x14ac:dyDescent="0.25">
      <c r="A4674" t="s">
        <v>538</v>
      </c>
      <c r="B4674" t="s">
        <v>144</v>
      </c>
      <c r="C4674" s="2">
        <f>HYPERLINK("https://svao.dolgi.msk.ru/account/1760205644/", 1760205644)</f>
        <v>1760205644</v>
      </c>
      <c r="D4674">
        <v>7559.71</v>
      </c>
    </row>
    <row r="4675" spans="1:4" x14ac:dyDescent="0.25">
      <c r="A4675" t="s">
        <v>538</v>
      </c>
      <c r="B4675" t="s">
        <v>315</v>
      </c>
      <c r="C4675" s="2">
        <f>HYPERLINK("https://svao.dolgi.msk.ru/account/1760205652/", 1760205652)</f>
        <v>1760205652</v>
      </c>
      <c r="D4675">
        <v>3921.24</v>
      </c>
    </row>
    <row r="4676" spans="1:4" x14ac:dyDescent="0.25">
      <c r="A4676" t="s">
        <v>538</v>
      </c>
      <c r="B4676" t="s">
        <v>339</v>
      </c>
      <c r="C4676" s="2">
        <f>HYPERLINK("https://svao.dolgi.msk.ru/account/1760205724/", 1760205724)</f>
        <v>1760205724</v>
      </c>
      <c r="D4676">
        <v>1303.5899999999999</v>
      </c>
    </row>
    <row r="4677" spans="1:4" x14ac:dyDescent="0.25">
      <c r="A4677" t="s">
        <v>538</v>
      </c>
      <c r="B4677" t="s">
        <v>250</v>
      </c>
      <c r="C4677" s="2">
        <f>HYPERLINK("https://svao.dolgi.msk.ru/account/1760205759/", 1760205759)</f>
        <v>1760205759</v>
      </c>
      <c r="D4677">
        <v>5283.66</v>
      </c>
    </row>
    <row r="4678" spans="1:4" x14ac:dyDescent="0.25">
      <c r="A4678" t="s">
        <v>538</v>
      </c>
      <c r="B4678" t="s">
        <v>294</v>
      </c>
      <c r="C4678" s="2">
        <f>HYPERLINK("https://svao.dolgi.msk.ru/account/1760205791/", 1760205791)</f>
        <v>1760205791</v>
      </c>
      <c r="D4678">
        <v>10590.68</v>
      </c>
    </row>
    <row r="4679" spans="1:4" x14ac:dyDescent="0.25">
      <c r="A4679" t="s">
        <v>538</v>
      </c>
      <c r="B4679" t="s">
        <v>295</v>
      </c>
      <c r="C4679" s="2">
        <f>HYPERLINK("https://svao.dolgi.msk.ru/account/1760205927/", 1760205927)</f>
        <v>1760205927</v>
      </c>
      <c r="D4679">
        <v>3224.14</v>
      </c>
    </row>
    <row r="4680" spans="1:4" x14ac:dyDescent="0.25">
      <c r="A4680" t="s">
        <v>538</v>
      </c>
      <c r="B4680" t="s">
        <v>149</v>
      </c>
      <c r="C4680" s="2">
        <f>HYPERLINK("https://svao.dolgi.msk.ru/account/1760205935/", 1760205935)</f>
        <v>1760205935</v>
      </c>
      <c r="D4680">
        <v>1023.34</v>
      </c>
    </row>
    <row r="4681" spans="1:4" x14ac:dyDescent="0.25">
      <c r="A4681" t="s">
        <v>538</v>
      </c>
      <c r="B4681" t="s">
        <v>307</v>
      </c>
      <c r="C4681" s="2">
        <f>HYPERLINK("https://svao.dolgi.msk.ru/account/1760205951/", 1760205951)</f>
        <v>1760205951</v>
      </c>
      <c r="D4681">
        <v>1014.76</v>
      </c>
    </row>
    <row r="4682" spans="1:4" x14ac:dyDescent="0.25">
      <c r="A4682" t="s">
        <v>538</v>
      </c>
      <c r="B4682" t="s">
        <v>296</v>
      </c>
      <c r="C4682" s="2">
        <f>HYPERLINK("https://svao.dolgi.msk.ru/account/1760205994/", 1760205994)</f>
        <v>1760205994</v>
      </c>
      <c r="D4682">
        <v>5513.01</v>
      </c>
    </row>
    <row r="4683" spans="1:4" x14ac:dyDescent="0.25">
      <c r="A4683" t="s">
        <v>538</v>
      </c>
      <c r="B4683" t="s">
        <v>253</v>
      </c>
      <c r="C4683" s="2">
        <f>HYPERLINK("https://svao.dolgi.msk.ru/account/1760206057/", 1760206057)</f>
        <v>1760206057</v>
      </c>
      <c r="D4683">
        <v>17324.349999999999</v>
      </c>
    </row>
    <row r="4684" spans="1:4" x14ac:dyDescent="0.25">
      <c r="A4684" t="s">
        <v>538</v>
      </c>
      <c r="B4684" t="s">
        <v>54</v>
      </c>
      <c r="C4684" s="2">
        <f>HYPERLINK("https://svao.dolgi.msk.ru/account/1760206065/", 1760206065)</f>
        <v>1760206065</v>
      </c>
      <c r="D4684">
        <v>7543.23</v>
      </c>
    </row>
    <row r="4685" spans="1:4" x14ac:dyDescent="0.25">
      <c r="A4685" t="s">
        <v>538</v>
      </c>
      <c r="B4685" t="s">
        <v>309</v>
      </c>
      <c r="C4685" s="2">
        <f>HYPERLINK("https://svao.dolgi.msk.ru/account/1760206102/", 1760206102)</f>
        <v>1760206102</v>
      </c>
      <c r="D4685">
        <v>8471.01</v>
      </c>
    </row>
    <row r="4686" spans="1:4" x14ac:dyDescent="0.25">
      <c r="A4686" t="s">
        <v>538</v>
      </c>
      <c r="B4686" t="s">
        <v>157</v>
      </c>
      <c r="C4686" s="2">
        <f>HYPERLINK("https://svao.dolgi.msk.ru/account/1760206292/", 1760206292)</f>
        <v>1760206292</v>
      </c>
      <c r="D4686">
        <v>25582.44</v>
      </c>
    </row>
    <row r="4687" spans="1:4" x14ac:dyDescent="0.25">
      <c r="A4687" t="s">
        <v>538</v>
      </c>
      <c r="B4687" t="s">
        <v>340</v>
      </c>
      <c r="C4687" s="2">
        <f>HYPERLINK("https://svao.dolgi.msk.ru/account/1760206321/", 1760206321)</f>
        <v>1760206321</v>
      </c>
      <c r="D4687">
        <v>8881.99</v>
      </c>
    </row>
    <row r="4688" spans="1:4" x14ac:dyDescent="0.25">
      <c r="A4688" t="s">
        <v>538</v>
      </c>
      <c r="B4688" t="s">
        <v>58</v>
      </c>
      <c r="C4688" s="2">
        <f>HYPERLINK("https://svao.dolgi.msk.ru/account/1760206372/", 1760206372)</f>
        <v>1760206372</v>
      </c>
      <c r="D4688">
        <v>486.53</v>
      </c>
    </row>
    <row r="4689" spans="1:4" x14ac:dyDescent="0.25">
      <c r="A4689" t="s">
        <v>538</v>
      </c>
      <c r="B4689" t="s">
        <v>336</v>
      </c>
      <c r="C4689" s="2">
        <f>HYPERLINK("https://svao.dolgi.msk.ru/account/1760206444/", 1760206444)</f>
        <v>1760206444</v>
      </c>
      <c r="D4689">
        <v>8868.35</v>
      </c>
    </row>
    <row r="4690" spans="1:4" x14ac:dyDescent="0.25">
      <c r="A4690" t="s">
        <v>538</v>
      </c>
      <c r="B4690" t="s">
        <v>60</v>
      </c>
      <c r="C4690" s="2">
        <f>HYPERLINK("https://svao.dolgi.msk.ru/account/1760206452/", 1760206452)</f>
        <v>1760206452</v>
      </c>
      <c r="D4690">
        <v>5872.98</v>
      </c>
    </row>
    <row r="4691" spans="1:4" x14ac:dyDescent="0.25">
      <c r="A4691" t="s">
        <v>538</v>
      </c>
      <c r="B4691" t="s">
        <v>257</v>
      </c>
      <c r="C4691" s="2">
        <f>HYPERLINK("https://svao.dolgi.msk.ru/account/1760206532/", 1760206532)</f>
        <v>1760206532</v>
      </c>
      <c r="D4691">
        <v>4190.3999999999996</v>
      </c>
    </row>
    <row r="4692" spans="1:4" x14ac:dyDescent="0.25">
      <c r="A4692" t="s">
        <v>538</v>
      </c>
      <c r="B4692" t="s">
        <v>63</v>
      </c>
      <c r="C4692" s="2">
        <f>HYPERLINK("https://svao.dolgi.msk.ru/account/1760206575/", 1760206575)</f>
        <v>1760206575</v>
      </c>
      <c r="D4692">
        <v>2238.1799999999998</v>
      </c>
    </row>
    <row r="4693" spans="1:4" x14ac:dyDescent="0.25">
      <c r="A4693" t="s">
        <v>538</v>
      </c>
      <c r="B4693" t="s">
        <v>345</v>
      </c>
      <c r="C4693" s="2">
        <f>HYPERLINK("https://svao.dolgi.msk.ru/account/1760206639/", 1760206639)</f>
        <v>1760206639</v>
      </c>
      <c r="D4693">
        <v>4372.6099999999997</v>
      </c>
    </row>
    <row r="4694" spans="1:4" x14ac:dyDescent="0.25">
      <c r="A4694" t="s">
        <v>538</v>
      </c>
      <c r="B4694" t="s">
        <v>162</v>
      </c>
      <c r="C4694" s="2">
        <f>HYPERLINK("https://svao.dolgi.msk.ru/account/1760206719/", 1760206719)</f>
        <v>1760206719</v>
      </c>
      <c r="D4694">
        <v>6108.13</v>
      </c>
    </row>
    <row r="4695" spans="1:4" x14ac:dyDescent="0.25">
      <c r="A4695" t="s">
        <v>538</v>
      </c>
      <c r="B4695" t="s">
        <v>70</v>
      </c>
      <c r="C4695" s="2">
        <f>HYPERLINK("https://svao.dolgi.msk.ru/account/1760206815/", 1760206815)</f>
        <v>1760206815</v>
      </c>
      <c r="D4695">
        <v>15429.66</v>
      </c>
    </row>
    <row r="4696" spans="1:4" x14ac:dyDescent="0.25">
      <c r="A4696" t="s">
        <v>538</v>
      </c>
      <c r="B4696" t="s">
        <v>347</v>
      </c>
      <c r="C4696" s="2">
        <f>HYPERLINK("https://svao.dolgi.msk.ru/account/1760206882/", 1760206882)</f>
        <v>1760206882</v>
      </c>
      <c r="D4696">
        <v>10999.9</v>
      </c>
    </row>
    <row r="4697" spans="1:4" x14ac:dyDescent="0.25">
      <c r="A4697" t="s">
        <v>538</v>
      </c>
      <c r="B4697" t="s">
        <v>165</v>
      </c>
      <c r="C4697" s="2">
        <f>HYPERLINK("https://svao.dolgi.msk.ru/account/1760206903/", 1760206903)</f>
        <v>1760206903</v>
      </c>
      <c r="D4697">
        <v>2894.77</v>
      </c>
    </row>
    <row r="4698" spans="1:4" x14ac:dyDescent="0.25">
      <c r="A4698" t="s">
        <v>538</v>
      </c>
      <c r="B4698" t="s">
        <v>418</v>
      </c>
      <c r="C4698" s="2">
        <f>HYPERLINK("https://svao.dolgi.msk.ru/account/1760206962/", 1760206962)</f>
        <v>1760206962</v>
      </c>
      <c r="D4698">
        <v>6158.85</v>
      </c>
    </row>
    <row r="4699" spans="1:4" x14ac:dyDescent="0.25">
      <c r="A4699" t="s">
        <v>538</v>
      </c>
      <c r="B4699" t="s">
        <v>170</v>
      </c>
      <c r="C4699" s="2">
        <f>HYPERLINK("https://svao.dolgi.msk.ru/account/1760207025/", 1760207025)</f>
        <v>1760207025</v>
      </c>
      <c r="D4699">
        <v>8627.0400000000009</v>
      </c>
    </row>
    <row r="4700" spans="1:4" x14ac:dyDescent="0.25">
      <c r="A4700" t="s">
        <v>538</v>
      </c>
      <c r="B4700" t="s">
        <v>266</v>
      </c>
      <c r="C4700" s="2">
        <f>HYPERLINK("https://svao.dolgi.msk.ru/account/1760207121/", 1760207121)</f>
        <v>1760207121</v>
      </c>
      <c r="D4700">
        <v>3469.8</v>
      </c>
    </row>
    <row r="4701" spans="1:4" x14ac:dyDescent="0.25">
      <c r="A4701" t="s">
        <v>538</v>
      </c>
      <c r="B4701" t="s">
        <v>349</v>
      </c>
      <c r="C4701" s="2">
        <f>HYPERLINK("https://svao.dolgi.msk.ru/account/1760207164/", 1760207164)</f>
        <v>1760207164</v>
      </c>
      <c r="D4701">
        <v>376952.1</v>
      </c>
    </row>
    <row r="4702" spans="1:4" x14ac:dyDescent="0.25">
      <c r="A4702" t="s">
        <v>538</v>
      </c>
      <c r="B4702" t="s">
        <v>420</v>
      </c>
      <c r="C4702" s="2">
        <f>HYPERLINK("https://svao.dolgi.msk.ru/account/1760207244/", 1760207244)</f>
        <v>1760207244</v>
      </c>
      <c r="D4702">
        <v>3170.94</v>
      </c>
    </row>
    <row r="4703" spans="1:4" x14ac:dyDescent="0.25">
      <c r="A4703" t="s">
        <v>538</v>
      </c>
      <c r="B4703" t="s">
        <v>353</v>
      </c>
      <c r="C4703" s="2">
        <f>HYPERLINK("https://svao.dolgi.msk.ru/account/1760207252/", 1760207252)</f>
        <v>1760207252</v>
      </c>
      <c r="D4703">
        <v>4226.1400000000003</v>
      </c>
    </row>
    <row r="4704" spans="1:4" x14ac:dyDescent="0.25">
      <c r="A4704" t="s">
        <v>538</v>
      </c>
      <c r="B4704" t="s">
        <v>267</v>
      </c>
      <c r="C4704" s="2">
        <f>HYPERLINK("https://svao.dolgi.msk.ru/account/1760207279/", 1760207279)</f>
        <v>1760207279</v>
      </c>
      <c r="D4704">
        <v>330329.71000000002</v>
      </c>
    </row>
    <row r="4705" spans="1:4" x14ac:dyDescent="0.25">
      <c r="A4705" t="s">
        <v>538</v>
      </c>
      <c r="B4705" t="s">
        <v>175</v>
      </c>
      <c r="C4705" s="2">
        <f>HYPERLINK("https://svao.dolgi.msk.ru/account/1760207308/", 1760207308)</f>
        <v>1760207308</v>
      </c>
      <c r="D4705">
        <v>763.82</v>
      </c>
    </row>
    <row r="4706" spans="1:4" x14ac:dyDescent="0.25">
      <c r="A4706" t="s">
        <v>538</v>
      </c>
      <c r="B4706" t="s">
        <v>533</v>
      </c>
      <c r="C4706" s="2">
        <f>HYPERLINK("https://svao.dolgi.msk.ru/account/1760207316/", 1760207316)</f>
        <v>1760207316</v>
      </c>
      <c r="D4706">
        <v>5038.29</v>
      </c>
    </row>
    <row r="4707" spans="1:4" x14ac:dyDescent="0.25">
      <c r="A4707" t="s">
        <v>538</v>
      </c>
      <c r="B4707" t="s">
        <v>534</v>
      </c>
      <c r="C4707" s="2">
        <f>HYPERLINK("https://svao.dolgi.msk.ru/account/1760207375/", 1760207375)</f>
        <v>1760207375</v>
      </c>
      <c r="D4707">
        <v>5803.12</v>
      </c>
    </row>
    <row r="4708" spans="1:4" x14ac:dyDescent="0.25">
      <c r="A4708" t="s">
        <v>538</v>
      </c>
      <c r="B4708" t="s">
        <v>271</v>
      </c>
      <c r="C4708" s="2">
        <f>HYPERLINK("https://svao.dolgi.msk.ru/account/1760207404/", 1760207404)</f>
        <v>1760207404</v>
      </c>
      <c r="D4708">
        <v>5628.98</v>
      </c>
    </row>
    <row r="4709" spans="1:4" x14ac:dyDescent="0.25">
      <c r="A4709" t="s">
        <v>538</v>
      </c>
      <c r="B4709" t="s">
        <v>180</v>
      </c>
      <c r="C4709" s="2">
        <f>HYPERLINK("https://svao.dolgi.msk.ru/account/1760207447/", 1760207447)</f>
        <v>1760207447</v>
      </c>
      <c r="D4709">
        <v>3065.25</v>
      </c>
    </row>
    <row r="4710" spans="1:4" x14ac:dyDescent="0.25">
      <c r="A4710" t="s">
        <v>538</v>
      </c>
      <c r="B4710" t="s">
        <v>488</v>
      </c>
      <c r="C4710" s="2">
        <f>HYPERLINK("https://svao.dolgi.msk.ru/account/1760207455/", 1760207455)</f>
        <v>1760207455</v>
      </c>
      <c r="D4710">
        <v>4331.93</v>
      </c>
    </row>
    <row r="4711" spans="1:4" x14ac:dyDescent="0.25">
      <c r="A4711" t="s">
        <v>538</v>
      </c>
      <c r="B4711" t="s">
        <v>181</v>
      </c>
      <c r="C4711" s="2">
        <f>HYPERLINK("https://svao.dolgi.msk.ru/account/1760207498/", 1760207498)</f>
        <v>1760207498</v>
      </c>
      <c r="D4711">
        <v>1020.17</v>
      </c>
    </row>
    <row r="4712" spans="1:4" x14ac:dyDescent="0.25">
      <c r="A4712" t="s">
        <v>538</v>
      </c>
      <c r="B4712" t="s">
        <v>182</v>
      </c>
      <c r="C4712" s="2">
        <f>HYPERLINK("https://svao.dolgi.msk.ru/account/1760207519/", 1760207519)</f>
        <v>1760207519</v>
      </c>
      <c r="D4712">
        <v>18159.2</v>
      </c>
    </row>
    <row r="4713" spans="1:4" x14ac:dyDescent="0.25">
      <c r="A4713" t="s">
        <v>538</v>
      </c>
      <c r="B4713" t="s">
        <v>535</v>
      </c>
      <c r="C4713" s="2">
        <f>HYPERLINK("https://svao.dolgi.msk.ru/account/1760207535/", 1760207535)</f>
        <v>1760207535</v>
      </c>
      <c r="D4713">
        <v>6578.89</v>
      </c>
    </row>
    <row r="4714" spans="1:4" x14ac:dyDescent="0.25">
      <c r="A4714" t="s">
        <v>538</v>
      </c>
      <c r="B4714" t="s">
        <v>355</v>
      </c>
      <c r="C4714" s="2">
        <f>HYPERLINK("https://svao.dolgi.msk.ru/account/1760207594/", 1760207594)</f>
        <v>1760207594</v>
      </c>
      <c r="D4714">
        <v>7025.78</v>
      </c>
    </row>
    <row r="4715" spans="1:4" x14ac:dyDescent="0.25">
      <c r="A4715" t="s">
        <v>538</v>
      </c>
      <c r="B4715" t="s">
        <v>421</v>
      </c>
      <c r="C4715" s="2">
        <f>HYPERLINK("https://svao.dolgi.msk.ru/account/1760207615/", 1760207615)</f>
        <v>1760207615</v>
      </c>
      <c r="D4715">
        <v>6622.06</v>
      </c>
    </row>
    <row r="4716" spans="1:4" x14ac:dyDescent="0.25">
      <c r="A4716" t="s">
        <v>538</v>
      </c>
      <c r="B4716" t="s">
        <v>422</v>
      </c>
      <c r="C4716" s="2">
        <f>HYPERLINK("https://svao.dolgi.msk.ru/account/1760207623/", 1760207623)</f>
        <v>1760207623</v>
      </c>
      <c r="D4716">
        <v>3280.7</v>
      </c>
    </row>
    <row r="4717" spans="1:4" x14ac:dyDescent="0.25">
      <c r="A4717" t="s">
        <v>538</v>
      </c>
      <c r="B4717" t="s">
        <v>187</v>
      </c>
      <c r="C4717" s="2">
        <f>HYPERLINK("https://svao.dolgi.msk.ru/account/1760207818/", 1760207818)</f>
        <v>1760207818</v>
      </c>
      <c r="D4717">
        <v>6906.98</v>
      </c>
    </row>
    <row r="4718" spans="1:4" x14ac:dyDescent="0.25">
      <c r="A4718" t="s">
        <v>538</v>
      </c>
      <c r="B4718" t="s">
        <v>279</v>
      </c>
      <c r="C4718" s="2">
        <f>HYPERLINK("https://svao.dolgi.msk.ru/account/1760207834/", 1760207834)</f>
        <v>1760207834</v>
      </c>
      <c r="D4718">
        <v>1700.73</v>
      </c>
    </row>
    <row r="4719" spans="1:4" x14ac:dyDescent="0.25">
      <c r="A4719" t="s">
        <v>538</v>
      </c>
      <c r="B4719" t="s">
        <v>517</v>
      </c>
      <c r="C4719" s="2">
        <f>HYPERLINK("https://svao.dolgi.msk.ru/account/1760207885/", 1760207885)</f>
        <v>1760207885</v>
      </c>
      <c r="D4719">
        <v>3882.44</v>
      </c>
    </row>
    <row r="4720" spans="1:4" x14ac:dyDescent="0.25">
      <c r="A4720" t="s">
        <v>538</v>
      </c>
      <c r="B4720" t="s">
        <v>539</v>
      </c>
      <c r="C4720" s="2">
        <f>HYPERLINK("https://svao.dolgi.msk.ru/account/1760207922/", 1760207922)</f>
        <v>1760207922</v>
      </c>
      <c r="D4720">
        <v>10213.49</v>
      </c>
    </row>
    <row r="4721" spans="1:4" x14ac:dyDescent="0.25">
      <c r="A4721" t="s">
        <v>538</v>
      </c>
      <c r="B4721" t="s">
        <v>540</v>
      </c>
      <c r="C4721" s="2">
        <f>HYPERLINK("https://svao.dolgi.msk.ru/account/1760207981/", 1760207981)</f>
        <v>1760207981</v>
      </c>
      <c r="D4721">
        <v>3845.35</v>
      </c>
    </row>
    <row r="4722" spans="1:4" x14ac:dyDescent="0.25">
      <c r="A4722" t="s">
        <v>538</v>
      </c>
      <c r="B4722" t="s">
        <v>360</v>
      </c>
      <c r="C4722" s="2">
        <f>HYPERLINK("https://svao.dolgi.msk.ru/account/1760208001/", 1760208001)</f>
        <v>1760208001</v>
      </c>
      <c r="D4722">
        <v>3953.73</v>
      </c>
    </row>
    <row r="4723" spans="1:4" x14ac:dyDescent="0.25">
      <c r="A4723" t="s">
        <v>538</v>
      </c>
      <c r="B4723" t="s">
        <v>193</v>
      </c>
      <c r="C4723" s="2">
        <f>HYPERLINK("https://svao.dolgi.msk.ru/account/1760208028/", 1760208028)</f>
        <v>1760208028</v>
      </c>
      <c r="D4723">
        <v>3683.62</v>
      </c>
    </row>
    <row r="4724" spans="1:4" x14ac:dyDescent="0.25">
      <c r="A4724" t="s">
        <v>538</v>
      </c>
      <c r="B4724" t="s">
        <v>510</v>
      </c>
      <c r="C4724" s="2">
        <f>HYPERLINK("https://svao.dolgi.msk.ru/account/1760208159/", 1760208159)</f>
        <v>1760208159</v>
      </c>
      <c r="D4724">
        <v>7030.3</v>
      </c>
    </row>
    <row r="4725" spans="1:4" x14ac:dyDescent="0.25">
      <c r="A4725" t="s">
        <v>538</v>
      </c>
      <c r="B4725" t="s">
        <v>518</v>
      </c>
      <c r="C4725" s="2">
        <f>HYPERLINK("https://svao.dolgi.msk.ru/account/1760208204/", 1760208204)</f>
        <v>1760208204</v>
      </c>
      <c r="D4725">
        <v>4996.95</v>
      </c>
    </row>
    <row r="4726" spans="1:4" x14ac:dyDescent="0.25">
      <c r="A4726" t="s">
        <v>538</v>
      </c>
      <c r="B4726" t="s">
        <v>199</v>
      </c>
      <c r="C4726" s="2">
        <f>HYPERLINK("https://svao.dolgi.msk.ru/account/1760208212/", 1760208212)</f>
        <v>1760208212</v>
      </c>
      <c r="D4726">
        <v>6381.4</v>
      </c>
    </row>
    <row r="4727" spans="1:4" x14ac:dyDescent="0.25">
      <c r="A4727" t="s">
        <v>538</v>
      </c>
      <c r="B4727" t="s">
        <v>201</v>
      </c>
      <c r="C4727" s="2">
        <f>HYPERLINK("https://svao.dolgi.msk.ru/account/1760208247/", 1760208247)</f>
        <v>1760208247</v>
      </c>
      <c r="D4727">
        <v>20972.9</v>
      </c>
    </row>
    <row r="4728" spans="1:4" x14ac:dyDescent="0.25">
      <c r="A4728" t="s">
        <v>541</v>
      </c>
      <c r="B4728" t="s">
        <v>103</v>
      </c>
      <c r="C4728" s="2">
        <f>HYPERLINK("https://svao.dolgi.msk.ru/account/1760208431/", 1760208431)</f>
        <v>1760208431</v>
      </c>
      <c r="D4728">
        <v>5130.3900000000003</v>
      </c>
    </row>
    <row r="4729" spans="1:4" x14ac:dyDescent="0.25">
      <c r="A4729" t="s">
        <v>541</v>
      </c>
      <c r="B4729" t="s">
        <v>9</v>
      </c>
      <c r="C4729" s="2">
        <f>HYPERLINK("https://svao.dolgi.msk.ru/account/1760208546/", 1760208546)</f>
        <v>1760208546</v>
      </c>
      <c r="D4729">
        <v>4192</v>
      </c>
    </row>
    <row r="4730" spans="1:4" x14ac:dyDescent="0.25">
      <c r="A4730" t="s">
        <v>541</v>
      </c>
      <c r="B4730" t="s">
        <v>14</v>
      </c>
      <c r="C4730" s="2">
        <f>HYPERLINK("https://svao.dolgi.msk.ru/account/1760208642/", 1760208642)</f>
        <v>1760208642</v>
      </c>
      <c r="D4730">
        <v>8696.06</v>
      </c>
    </row>
    <row r="4731" spans="1:4" x14ac:dyDescent="0.25">
      <c r="A4731" t="s">
        <v>541</v>
      </c>
      <c r="B4731" t="s">
        <v>107</v>
      </c>
      <c r="C4731" s="2">
        <f>HYPERLINK("https://svao.dolgi.msk.ru/account/1760208677/", 1760208677)</f>
        <v>1760208677</v>
      </c>
      <c r="D4731">
        <v>88855.11</v>
      </c>
    </row>
    <row r="4732" spans="1:4" x14ac:dyDescent="0.25">
      <c r="A4732" t="s">
        <v>541</v>
      </c>
      <c r="B4732" t="s">
        <v>15</v>
      </c>
      <c r="C4732" s="2">
        <f>HYPERLINK("https://svao.dolgi.msk.ru/account/1760208685/", 1760208685)</f>
        <v>1760208685</v>
      </c>
      <c r="D4732">
        <v>4208.2</v>
      </c>
    </row>
    <row r="4733" spans="1:4" x14ac:dyDescent="0.25">
      <c r="A4733" t="s">
        <v>541</v>
      </c>
      <c r="B4733" t="s">
        <v>16</v>
      </c>
      <c r="C4733" s="2">
        <f>HYPERLINK("https://svao.dolgi.msk.ru/account/1760208714/", 1760208714)</f>
        <v>1760208714</v>
      </c>
      <c r="D4733">
        <v>239099.18</v>
      </c>
    </row>
    <row r="4734" spans="1:4" x14ac:dyDescent="0.25">
      <c r="A4734" t="s">
        <v>541</v>
      </c>
      <c r="B4734" t="s">
        <v>20</v>
      </c>
      <c r="C4734" s="2">
        <f>HYPERLINK("https://svao.dolgi.msk.ru/account/1760208781/", 1760208781)</f>
        <v>1760208781</v>
      </c>
      <c r="D4734">
        <v>4143.09</v>
      </c>
    </row>
    <row r="4735" spans="1:4" x14ac:dyDescent="0.25">
      <c r="A4735" t="s">
        <v>541</v>
      </c>
      <c r="B4735" t="s">
        <v>94</v>
      </c>
      <c r="C4735" s="2">
        <f>HYPERLINK("https://svao.dolgi.msk.ru/account/1760208853/", 1760208853)</f>
        <v>1760208853</v>
      </c>
      <c r="D4735">
        <v>5498.73</v>
      </c>
    </row>
    <row r="4736" spans="1:4" x14ac:dyDescent="0.25">
      <c r="A4736" t="s">
        <v>541</v>
      </c>
      <c r="B4736" t="s">
        <v>22</v>
      </c>
      <c r="C4736" s="2">
        <f>HYPERLINK("https://svao.dolgi.msk.ru/account/1760208941/", 1760208941)</f>
        <v>1760208941</v>
      </c>
      <c r="D4736">
        <v>5071.1899999999996</v>
      </c>
    </row>
    <row r="4737" spans="1:4" x14ac:dyDescent="0.25">
      <c r="A4737" t="s">
        <v>541</v>
      </c>
      <c r="B4737" t="s">
        <v>79</v>
      </c>
      <c r="C4737" s="2">
        <f>HYPERLINK("https://svao.dolgi.msk.ru/account/1760208968/", 1760208968)</f>
        <v>1760208968</v>
      </c>
      <c r="D4737">
        <v>7802.89</v>
      </c>
    </row>
    <row r="4738" spans="1:4" x14ac:dyDescent="0.25">
      <c r="A4738" t="s">
        <v>541</v>
      </c>
      <c r="B4738" t="s">
        <v>23</v>
      </c>
      <c r="C4738" s="2">
        <f>HYPERLINK("https://svao.dolgi.msk.ru/account/1760208976/", 1760208976)</f>
        <v>1760208976</v>
      </c>
      <c r="D4738">
        <v>7209.33</v>
      </c>
    </row>
    <row r="4739" spans="1:4" x14ac:dyDescent="0.25">
      <c r="A4739" t="s">
        <v>541</v>
      </c>
      <c r="B4739" t="s">
        <v>115</v>
      </c>
      <c r="C4739" s="2">
        <f>HYPERLINK("https://svao.dolgi.msk.ru/account/1760209004/", 1760209004)</f>
        <v>1760209004</v>
      </c>
      <c r="D4739">
        <v>4267.8500000000004</v>
      </c>
    </row>
    <row r="4740" spans="1:4" x14ac:dyDescent="0.25">
      <c r="A4740" t="s">
        <v>541</v>
      </c>
      <c r="B4740" t="s">
        <v>242</v>
      </c>
      <c r="C4740" s="2">
        <f>HYPERLINK("https://svao.dolgi.msk.ru/account/1760209055/", 1760209055)</f>
        <v>1760209055</v>
      </c>
      <c r="D4740">
        <v>1040.77</v>
      </c>
    </row>
    <row r="4741" spans="1:4" x14ac:dyDescent="0.25">
      <c r="A4741" t="s">
        <v>541</v>
      </c>
      <c r="B4741" t="s">
        <v>95</v>
      </c>
      <c r="C4741" s="2">
        <f>HYPERLINK("https://svao.dolgi.msk.ru/account/1760209063/", 1760209063)</f>
        <v>1760209063</v>
      </c>
      <c r="D4741">
        <v>131.37</v>
      </c>
    </row>
    <row r="4742" spans="1:4" x14ac:dyDescent="0.25">
      <c r="A4742" t="s">
        <v>541</v>
      </c>
      <c r="B4742" t="s">
        <v>80</v>
      </c>
      <c r="C4742" s="2">
        <f>HYPERLINK("https://svao.dolgi.msk.ru/account/1760209135/", 1760209135)</f>
        <v>1760209135</v>
      </c>
      <c r="D4742">
        <v>9986.48</v>
      </c>
    </row>
    <row r="4743" spans="1:4" x14ac:dyDescent="0.25">
      <c r="A4743" t="s">
        <v>541</v>
      </c>
      <c r="B4743" t="s">
        <v>118</v>
      </c>
      <c r="C4743" s="2">
        <f>HYPERLINK("https://svao.dolgi.msk.ru/account/1760209143/", 1760209143)</f>
        <v>1760209143</v>
      </c>
      <c r="D4743">
        <v>5430.14</v>
      </c>
    </row>
    <row r="4744" spans="1:4" x14ac:dyDescent="0.25">
      <c r="A4744" t="s">
        <v>541</v>
      </c>
      <c r="B4744" t="s">
        <v>120</v>
      </c>
      <c r="C4744" s="2">
        <f>HYPERLINK("https://svao.dolgi.msk.ru/account/1760209194/", 1760209194)</f>
        <v>1760209194</v>
      </c>
      <c r="D4744">
        <v>5601.49</v>
      </c>
    </row>
    <row r="4745" spans="1:4" x14ac:dyDescent="0.25">
      <c r="A4745" t="s">
        <v>541</v>
      </c>
      <c r="B4745" t="s">
        <v>25</v>
      </c>
      <c r="C4745" s="2">
        <f>HYPERLINK("https://svao.dolgi.msk.ru/account/1760209223/", 1760209223)</f>
        <v>1760209223</v>
      </c>
      <c r="D4745">
        <v>78138.91</v>
      </c>
    </row>
    <row r="4746" spans="1:4" x14ac:dyDescent="0.25">
      <c r="A4746" t="s">
        <v>541</v>
      </c>
      <c r="B4746" t="s">
        <v>132</v>
      </c>
      <c r="C4746" s="2">
        <f>HYPERLINK("https://svao.dolgi.msk.ru/account/1760209258/", 1760209258)</f>
        <v>1760209258</v>
      </c>
      <c r="D4746">
        <v>7767.86</v>
      </c>
    </row>
    <row r="4747" spans="1:4" x14ac:dyDescent="0.25">
      <c r="A4747" t="s">
        <v>541</v>
      </c>
      <c r="B4747" t="s">
        <v>96</v>
      </c>
      <c r="C4747" s="2">
        <f>HYPERLINK("https://svao.dolgi.msk.ru/account/1760209282/", 1760209282)</f>
        <v>1760209282</v>
      </c>
      <c r="D4747">
        <v>4823.3</v>
      </c>
    </row>
    <row r="4748" spans="1:4" x14ac:dyDescent="0.25">
      <c r="A4748" t="s">
        <v>541</v>
      </c>
      <c r="B4748" t="s">
        <v>139</v>
      </c>
      <c r="C4748" s="2">
        <f>HYPERLINK("https://svao.dolgi.msk.ru/account/1760209389/", 1760209389)</f>
        <v>1760209389</v>
      </c>
      <c r="D4748">
        <v>1115.1500000000001</v>
      </c>
    </row>
    <row r="4749" spans="1:4" x14ac:dyDescent="0.25">
      <c r="A4749" t="s">
        <v>541</v>
      </c>
      <c r="B4749" t="s">
        <v>129</v>
      </c>
      <c r="C4749" s="2">
        <f>HYPERLINK("https://svao.dolgi.msk.ru/account/1760209434/", 1760209434)</f>
        <v>1760209434</v>
      </c>
      <c r="D4749">
        <v>3272.43</v>
      </c>
    </row>
    <row r="4750" spans="1:4" x14ac:dyDescent="0.25">
      <c r="A4750" t="s">
        <v>541</v>
      </c>
      <c r="B4750" t="s">
        <v>34</v>
      </c>
      <c r="C4750" s="2">
        <f>HYPERLINK("https://svao.dolgi.msk.ru/account/1760209565/", 1760209565)</f>
        <v>1760209565</v>
      </c>
      <c r="D4750">
        <v>12572.77</v>
      </c>
    </row>
    <row r="4751" spans="1:4" x14ac:dyDescent="0.25">
      <c r="A4751" t="s">
        <v>541</v>
      </c>
      <c r="B4751" t="s">
        <v>86</v>
      </c>
      <c r="C4751" s="2">
        <f>HYPERLINK("https://svao.dolgi.msk.ru/account/1760209653/", 1760209653)</f>
        <v>1760209653</v>
      </c>
      <c r="D4751">
        <v>393126.33</v>
      </c>
    </row>
    <row r="4752" spans="1:4" x14ac:dyDescent="0.25">
      <c r="A4752" t="s">
        <v>541</v>
      </c>
      <c r="B4752" t="s">
        <v>87</v>
      </c>
      <c r="C4752" s="2">
        <f>HYPERLINK("https://svao.dolgi.msk.ru/account/1760209688/", 1760209688)</f>
        <v>1760209688</v>
      </c>
      <c r="D4752">
        <v>7910.83</v>
      </c>
    </row>
    <row r="4753" spans="1:4" x14ac:dyDescent="0.25">
      <c r="A4753" t="s">
        <v>541</v>
      </c>
      <c r="B4753" t="s">
        <v>38</v>
      </c>
      <c r="C4753" s="2">
        <f>HYPERLINK("https://svao.dolgi.msk.ru/account/1760209776/", 1760209776)</f>
        <v>1760209776</v>
      </c>
      <c r="D4753">
        <v>381.55</v>
      </c>
    </row>
    <row r="4754" spans="1:4" x14ac:dyDescent="0.25">
      <c r="A4754" t="s">
        <v>541</v>
      </c>
      <c r="B4754" t="s">
        <v>44</v>
      </c>
      <c r="C4754" s="2">
        <f>HYPERLINK("https://svao.dolgi.msk.ru/account/1760209848/", 1760209848)</f>
        <v>1760209848</v>
      </c>
      <c r="D4754">
        <v>2594.59</v>
      </c>
    </row>
    <row r="4755" spans="1:4" x14ac:dyDescent="0.25">
      <c r="A4755" t="s">
        <v>541</v>
      </c>
      <c r="B4755" t="s">
        <v>143</v>
      </c>
      <c r="C4755" s="2">
        <f>HYPERLINK("https://svao.dolgi.msk.ru/account/1760209901/", 1760209901)</f>
        <v>1760209901</v>
      </c>
      <c r="D4755">
        <v>4352.04</v>
      </c>
    </row>
    <row r="4756" spans="1:4" x14ac:dyDescent="0.25">
      <c r="A4756" t="s">
        <v>541</v>
      </c>
      <c r="B4756" t="s">
        <v>144</v>
      </c>
      <c r="C4756" s="2">
        <f>HYPERLINK("https://svao.dolgi.msk.ru/account/1760209936/", 1760209936)</f>
        <v>1760209936</v>
      </c>
      <c r="D4756">
        <v>5837.35</v>
      </c>
    </row>
    <row r="4757" spans="1:4" x14ac:dyDescent="0.25">
      <c r="A4757" t="s">
        <v>541</v>
      </c>
      <c r="B4757" t="s">
        <v>315</v>
      </c>
      <c r="C4757" s="2">
        <f>HYPERLINK("https://svao.dolgi.msk.ru/account/1760209944/", 1760209944)</f>
        <v>1760209944</v>
      </c>
      <c r="D4757">
        <v>7707.82</v>
      </c>
    </row>
    <row r="4758" spans="1:4" x14ac:dyDescent="0.25">
      <c r="A4758" t="s">
        <v>541</v>
      </c>
      <c r="B4758" t="s">
        <v>339</v>
      </c>
      <c r="C4758" s="2">
        <f>HYPERLINK("https://svao.dolgi.msk.ru/account/1760210005/", 1760210005)</f>
        <v>1760210005</v>
      </c>
      <c r="D4758">
        <v>13819.92</v>
      </c>
    </row>
    <row r="4759" spans="1:4" x14ac:dyDescent="0.25">
      <c r="A4759" t="s">
        <v>541</v>
      </c>
      <c r="B4759" t="s">
        <v>47</v>
      </c>
      <c r="C4759" s="2">
        <f>HYPERLINK("https://svao.dolgi.msk.ru/account/1760210021/", 1760210021)</f>
        <v>1760210021</v>
      </c>
      <c r="D4759">
        <v>5678.05</v>
      </c>
    </row>
    <row r="4760" spans="1:4" x14ac:dyDescent="0.25">
      <c r="A4760" t="s">
        <v>541</v>
      </c>
      <c r="B4760" t="s">
        <v>251</v>
      </c>
      <c r="C4760" s="2">
        <f>HYPERLINK("https://svao.dolgi.msk.ru/account/1760210128/", 1760210128)</f>
        <v>1760210128</v>
      </c>
      <c r="D4760">
        <v>19914.96</v>
      </c>
    </row>
    <row r="4761" spans="1:4" x14ac:dyDescent="0.25">
      <c r="A4761" t="s">
        <v>541</v>
      </c>
      <c r="B4761" t="s">
        <v>50</v>
      </c>
      <c r="C4761" s="2">
        <f>HYPERLINK("https://svao.dolgi.msk.ru/account/1760210152/", 1760210152)</f>
        <v>1760210152</v>
      </c>
      <c r="D4761">
        <v>11339.41</v>
      </c>
    </row>
    <row r="4762" spans="1:4" x14ac:dyDescent="0.25">
      <c r="A4762" t="s">
        <v>541</v>
      </c>
      <c r="B4762" t="s">
        <v>334</v>
      </c>
      <c r="C4762" s="2">
        <f>HYPERLINK("https://svao.dolgi.msk.ru/account/1760210187/", 1760210187)</f>
        <v>1760210187</v>
      </c>
      <c r="D4762">
        <v>2750.06</v>
      </c>
    </row>
    <row r="4763" spans="1:4" x14ac:dyDescent="0.25">
      <c r="A4763" t="s">
        <v>541</v>
      </c>
      <c r="B4763" t="s">
        <v>52</v>
      </c>
      <c r="C4763" s="2">
        <f>HYPERLINK("https://svao.dolgi.msk.ru/account/1760210208/", 1760210208)</f>
        <v>1760210208</v>
      </c>
      <c r="D4763">
        <v>27373.74</v>
      </c>
    </row>
    <row r="4764" spans="1:4" x14ac:dyDescent="0.25">
      <c r="A4764" t="s">
        <v>541</v>
      </c>
      <c r="B4764" t="s">
        <v>316</v>
      </c>
      <c r="C4764" s="2">
        <f>HYPERLINK("https://svao.dolgi.msk.ru/account/1760210216/", 1760210216)</f>
        <v>1760210216</v>
      </c>
      <c r="D4764">
        <v>1421.41</v>
      </c>
    </row>
    <row r="4765" spans="1:4" x14ac:dyDescent="0.25">
      <c r="A4765" t="s">
        <v>541</v>
      </c>
      <c r="B4765" t="s">
        <v>296</v>
      </c>
      <c r="C4765" s="2">
        <f>HYPERLINK("https://svao.dolgi.msk.ru/account/1760210304/", 1760210304)</f>
        <v>1760210304</v>
      </c>
      <c r="D4765">
        <v>5819.33</v>
      </c>
    </row>
    <row r="4766" spans="1:4" x14ac:dyDescent="0.25">
      <c r="A4766" t="s">
        <v>541</v>
      </c>
      <c r="B4766" t="s">
        <v>152</v>
      </c>
      <c r="C4766" s="2">
        <f>HYPERLINK("https://svao.dolgi.msk.ru/account/1760210312/", 1760210312)</f>
        <v>1760210312</v>
      </c>
      <c r="D4766">
        <v>8616.66</v>
      </c>
    </row>
    <row r="4767" spans="1:4" x14ac:dyDescent="0.25">
      <c r="A4767" t="s">
        <v>541</v>
      </c>
      <c r="B4767" t="s">
        <v>54</v>
      </c>
      <c r="C4767" s="2">
        <f>HYPERLINK("https://svao.dolgi.msk.ru/account/1760210398/", 1760210398)</f>
        <v>1760210398</v>
      </c>
      <c r="D4767">
        <v>6541.37</v>
      </c>
    </row>
    <row r="4768" spans="1:4" x14ac:dyDescent="0.25">
      <c r="A4768" t="s">
        <v>541</v>
      </c>
      <c r="B4768" t="s">
        <v>308</v>
      </c>
      <c r="C4768" s="2">
        <f>HYPERLINK("https://svao.dolgi.msk.ru/account/1760210427/", 1760210427)</f>
        <v>1760210427</v>
      </c>
      <c r="D4768">
        <v>7154.51</v>
      </c>
    </row>
    <row r="4769" spans="1:4" x14ac:dyDescent="0.25">
      <c r="A4769" t="s">
        <v>541</v>
      </c>
      <c r="B4769" t="s">
        <v>318</v>
      </c>
      <c r="C4769" s="2">
        <f>HYPERLINK("https://svao.dolgi.msk.ru/account/1760210451/", 1760210451)</f>
        <v>1760210451</v>
      </c>
      <c r="D4769">
        <v>10508.4</v>
      </c>
    </row>
    <row r="4770" spans="1:4" x14ac:dyDescent="0.25">
      <c r="A4770" t="s">
        <v>541</v>
      </c>
      <c r="B4770" t="s">
        <v>297</v>
      </c>
      <c r="C4770" s="2">
        <f>HYPERLINK("https://svao.dolgi.msk.ru/account/1760210494/", 1760210494)</f>
        <v>1760210494</v>
      </c>
      <c r="D4770">
        <v>6325.69</v>
      </c>
    </row>
    <row r="4771" spans="1:4" x14ac:dyDescent="0.25">
      <c r="A4771" t="s">
        <v>541</v>
      </c>
      <c r="B4771" t="s">
        <v>153</v>
      </c>
      <c r="C4771" s="2">
        <f>HYPERLINK("https://svao.dolgi.msk.ru/account/1760210515/", 1760210515)</f>
        <v>1760210515</v>
      </c>
      <c r="D4771">
        <v>4018.08</v>
      </c>
    </row>
    <row r="4772" spans="1:4" x14ac:dyDescent="0.25">
      <c r="A4772" t="s">
        <v>541</v>
      </c>
      <c r="B4772" t="s">
        <v>56</v>
      </c>
      <c r="C4772" s="2">
        <f>HYPERLINK("https://svao.dolgi.msk.ru/account/1760210531/", 1760210531)</f>
        <v>1760210531</v>
      </c>
      <c r="D4772">
        <v>4912.07</v>
      </c>
    </row>
    <row r="4773" spans="1:4" x14ac:dyDescent="0.25">
      <c r="A4773" t="s">
        <v>541</v>
      </c>
      <c r="B4773" t="s">
        <v>155</v>
      </c>
      <c r="C4773" s="2">
        <f>HYPERLINK("https://svao.dolgi.msk.ru/account/1760210638/", 1760210638)</f>
        <v>1760210638</v>
      </c>
      <c r="D4773">
        <v>60395.85</v>
      </c>
    </row>
    <row r="4774" spans="1:4" x14ac:dyDescent="0.25">
      <c r="A4774" t="s">
        <v>541</v>
      </c>
      <c r="B4774" t="s">
        <v>156</v>
      </c>
      <c r="C4774" s="2">
        <f>HYPERLINK("https://svao.dolgi.msk.ru/account/1760210646/", 1760210646)</f>
        <v>1760210646</v>
      </c>
      <c r="D4774">
        <v>9562.08</v>
      </c>
    </row>
    <row r="4775" spans="1:4" x14ac:dyDescent="0.25">
      <c r="A4775" t="s">
        <v>541</v>
      </c>
      <c r="B4775" t="s">
        <v>429</v>
      </c>
      <c r="C4775" s="2">
        <f>HYPERLINK("https://svao.dolgi.msk.ru/account/1760210662/", 1760210662)</f>
        <v>1760210662</v>
      </c>
      <c r="D4775">
        <v>5008</v>
      </c>
    </row>
    <row r="4776" spans="1:4" x14ac:dyDescent="0.25">
      <c r="A4776" t="s">
        <v>541</v>
      </c>
      <c r="B4776" t="s">
        <v>340</v>
      </c>
      <c r="C4776" s="2">
        <f>HYPERLINK("https://svao.dolgi.msk.ru/account/1760211753/", 1760211753)</f>
        <v>1760211753</v>
      </c>
      <c r="D4776">
        <v>10527.73</v>
      </c>
    </row>
    <row r="4777" spans="1:4" x14ac:dyDescent="0.25">
      <c r="A4777" t="s">
        <v>541</v>
      </c>
      <c r="B4777" t="s">
        <v>256</v>
      </c>
      <c r="C4777" s="2">
        <f>HYPERLINK("https://svao.dolgi.msk.ru/account/1760210777/", 1760210777)</f>
        <v>1760210777</v>
      </c>
      <c r="D4777">
        <v>328234.15000000002</v>
      </c>
    </row>
    <row r="4778" spans="1:4" x14ac:dyDescent="0.25">
      <c r="A4778" t="s">
        <v>541</v>
      </c>
      <c r="B4778" t="s">
        <v>343</v>
      </c>
      <c r="C4778" s="2">
        <f>HYPERLINK("https://svao.dolgi.msk.ru/account/1760210822/", 1760210822)</f>
        <v>1760210822</v>
      </c>
      <c r="D4778">
        <v>16987.900000000001</v>
      </c>
    </row>
    <row r="4779" spans="1:4" x14ac:dyDescent="0.25">
      <c r="A4779" t="s">
        <v>541</v>
      </c>
      <c r="B4779" t="s">
        <v>62</v>
      </c>
      <c r="C4779" s="2">
        <f>HYPERLINK("https://svao.dolgi.msk.ru/account/1760210945/", 1760210945)</f>
        <v>1760210945</v>
      </c>
      <c r="D4779">
        <v>5671.37</v>
      </c>
    </row>
    <row r="4780" spans="1:4" x14ac:dyDescent="0.25">
      <c r="A4780" t="s">
        <v>541</v>
      </c>
      <c r="B4780" t="s">
        <v>257</v>
      </c>
      <c r="C4780" s="2">
        <f>HYPERLINK("https://svao.dolgi.msk.ru/account/1760210865/", 1760210865)</f>
        <v>1760210865</v>
      </c>
      <c r="D4780">
        <v>7792.94</v>
      </c>
    </row>
    <row r="4781" spans="1:4" x14ac:dyDescent="0.25">
      <c r="A4781" t="s">
        <v>541</v>
      </c>
      <c r="B4781" t="s">
        <v>160</v>
      </c>
      <c r="C4781" s="2">
        <f>HYPERLINK("https://svao.dolgi.msk.ru/account/1760210881/", 1760210881)</f>
        <v>1760210881</v>
      </c>
      <c r="D4781">
        <v>10901.77</v>
      </c>
    </row>
    <row r="4782" spans="1:4" x14ac:dyDescent="0.25">
      <c r="A4782" t="s">
        <v>541</v>
      </c>
      <c r="B4782" t="s">
        <v>345</v>
      </c>
      <c r="C4782" s="2">
        <f>HYPERLINK("https://svao.dolgi.msk.ru/account/1760210929/", 1760210929)</f>
        <v>1760210929</v>
      </c>
      <c r="D4782">
        <v>4137.84</v>
      </c>
    </row>
    <row r="4783" spans="1:4" x14ac:dyDescent="0.25">
      <c r="A4783" t="s">
        <v>541</v>
      </c>
      <c r="B4783" t="s">
        <v>67</v>
      </c>
      <c r="C4783" s="2">
        <f>HYPERLINK("https://svao.dolgi.msk.ru/account/1760210996/", 1760210996)</f>
        <v>1760210996</v>
      </c>
      <c r="D4783">
        <v>9550.6200000000008</v>
      </c>
    </row>
    <row r="4784" spans="1:4" x14ac:dyDescent="0.25">
      <c r="A4784" t="s">
        <v>541</v>
      </c>
      <c r="B4784" t="s">
        <v>258</v>
      </c>
      <c r="C4784" s="2">
        <f>HYPERLINK("https://svao.dolgi.msk.ru/account/1760211032/", 1760211032)</f>
        <v>1760211032</v>
      </c>
      <c r="D4784">
        <v>34206.449999999997</v>
      </c>
    </row>
    <row r="4785" spans="1:4" x14ac:dyDescent="0.25">
      <c r="A4785" t="s">
        <v>541</v>
      </c>
      <c r="B4785" t="s">
        <v>162</v>
      </c>
      <c r="C4785" s="2">
        <f>HYPERLINK("https://svao.dolgi.msk.ru/account/1760211067/", 1760211067)</f>
        <v>1760211067</v>
      </c>
      <c r="D4785">
        <v>4750.24</v>
      </c>
    </row>
    <row r="4786" spans="1:4" x14ac:dyDescent="0.25">
      <c r="A4786" t="s">
        <v>541</v>
      </c>
      <c r="B4786" t="s">
        <v>68</v>
      </c>
      <c r="C4786" s="2">
        <f>HYPERLINK("https://svao.dolgi.msk.ru/account/1760211083/", 1760211083)</f>
        <v>1760211083</v>
      </c>
      <c r="D4786">
        <v>37496.050000000003</v>
      </c>
    </row>
    <row r="4787" spans="1:4" x14ac:dyDescent="0.25">
      <c r="A4787" t="s">
        <v>541</v>
      </c>
      <c r="B4787" t="s">
        <v>69</v>
      </c>
      <c r="C4787" s="2">
        <f>HYPERLINK("https://svao.dolgi.msk.ru/account/1760211147/", 1760211147)</f>
        <v>1760211147</v>
      </c>
      <c r="D4787">
        <v>1426.26</v>
      </c>
    </row>
    <row r="4788" spans="1:4" x14ac:dyDescent="0.25">
      <c r="A4788" t="s">
        <v>541</v>
      </c>
      <c r="B4788" t="s">
        <v>69</v>
      </c>
      <c r="C4788" s="2">
        <f>HYPERLINK("https://svao.dolgi.msk.ru/account/1760211155/", 1760211155)</f>
        <v>1760211155</v>
      </c>
      <c r="D4788">
        <v>2320.4899999999998</v>
      </c>
    </row>
    <row r="4789" spans="1:4" x14ac:dyDescent="0.25">
      <c r="A4789" t="s">
        <v>541</v>
      </c>
      <c r="B4789" t="s">
        <v>347</v>
      </c>
      <c r="C4789" s="2">
        <f>HYPERLINK("https://svao.dolgi.msk.ru/account/1760211251/", 1760211251)</f>
        <v>1760211251</v>
      </c>
      <c r="D4789">
        <v>707.75</v>
      </c>
    </row>
    <row r="4790" spans="1:4" x14ac:dyDescent="0.25">
      <c r="A4790" t="s">
        <v>541</v>
      </c>
      <c r="B4790" t="s">
        <v>418</v>
      </c>
      <c r="C4790" s="2">
        <f>HYPERLINK("https://svao.dolgi.msk.ru/account/1760211323/", 1760211323)</f>
        <v>1760211323</v>
      </c>
      <c r="D4790">
        <v>8024.23</v>
      </c>
    </row>
    <row r="4791" spans="1:4" x14ac:dyDescent="0.25">
      <c r="A4791" t="s">
        <v>541</v>
      </c>
      <c r="B4791" t="s">
        <v>168</v>
      </c>
      <c r="C4791" s="2">
        <f>HYPERLINK("https://svao.dolgi.msk.ru/account/1760211331/", 1760211331)</f>
        <v>1760211331</v>
      </c>
      <c r="D4791">
        <v>11693.59</v>
      </c>
    </row>
    <row r="4792" spans="1:4" x14ac:dyDescent="0.25">
      <c r="A4792" t="s">
        <v>541</v>
      </c>
      <c r="B4792" t="s">
        <v>170</v>
      </c>
      <c r="C4792" s="2">
        <f>HYPERLINK("https://svao.dolgi.msk.ru/account/1760211403/", 1760211403)</f>
        <v>1760211403</v>
      </c>
      <c r="D4792">
        <v>12749.65</v>
      </c>
    </row>
    <row r="4793" spans="1:4" x14ac:dyDescent="0.25">
      <c r="A4793" t="s">
        <v>541</v>
      </c>
      <c r="B4793" t="s">
        <v>264</v>
      </c>
      <c r="C4793" s="2">
        <f>HYPERLINK("https://svao.dolgi.msk.ru/account/1760211438/", 1760211438)</f>
        <v>1760211438</v>
      </c>
      <c r="D4793">
        <v>4917.5600000000004</v>
      </c>
    </row>
    <row r="4794" spans="1:4" x14ac:dyDescent="0.25">
      <c r="A4794" t="s">
        <v>541</v>
      </c>
      <c r="B4794" t="s">
        <v>485</v>
      </c>
      <c r="C4794" s="2">
        <f>HYPERLINK("https://svao.dolgi.msk.ru/account/1760212019/", 1760212019)</f>
        <v>1760212019</v>
      </c>
      <c r="D4794">
        <v>5063.1099999999997</v>
      </c>
    </row>
    <row r="4795" spans="1:4" x14ac:dyDescent="0.25">
      <c r="A4795" t="s">
        <v>541</v>
      </c>
      <c r="B4795" t="s">
        <v>431</v>
      </c>
      <c r="C4795" s="2">
        <f>HYPERLINK("https://svao.dolgi.msk.ru/account/1760211489/", 1760211489)</f>
        <v>1760211489</v>
      </c>
      <c r="D4795">
        <v>8462.66</v>
      </c>
    </row>
    <row r="4796" spans="1:4" x14ac:dyDescent="0.25">
      <c r="A4796" t="s">
        <v>541</v>
      </c>
      <c r="B4796" t="s">
        <v>266</v>
      </c>
      <c r="C4796" s="2">
        <f>HYPERLINK("https://svao.dolgi.msk.ru/account/1760211518/", 1760211518)</f>
        <v>1760211518</v>
      </c>
      <c r="D4796">
        <v>5858.74</v>
      </c>
    </row>
    <row r="4797" spans="1:4" x14ac:dyDescent="0.25">
      <c r="A4797" t="s">
        <v>541</v>
      </c>
      <c r="B4797" t="s">
        <v>350</v>
      </c>
      <c r="C4797" s="2">
        <f>HYPERLINK("https://svao.dolgi.msk.ru/account/1760211569/", 1760211569)</f>
        <v>1760211569</v>
      </c>
      <c r="D4797">
        <v>6240.84</v>
      </c>
    </row>
    <row r="4798" spans="1:4" x14ac:dyDescent="0.25">
      <c r="A4798" t="s">
        <v>541</v>
      </c>
      <c r="B4798" t="s">
        <v>351</v>
      </c>
      <c r="C4798" s="2">
        <f>HYPERLINK("https://svao.dolgi.msk.ru/account/1760211577/", 1760211577)</f>
        <v>1760211577</v>
      </c>
      <c r="D4798">
        <v>5709.22</v>
      </c>
    </row>
    <row r="4799" spans="1:4" x14ac:dyDescent="0.25">
      <c r="A4799" t="s">
        <v>541</v>
      </c>
      <c r="B4799" t="s">
        <v>432</v>
      </c>
      <c r="C4799" s="2">
        <f>HYPERLINK("https://svao.dolgi.msk.ru/account/1760211585/", 1760211585)</f>
        <v>1760211585</v>
      </c>
      <c r="D4799">
        <v>5379.8</v>
      </c>
    </row>
    <row r="4800" spans="1:4" x14ac:dyDescent="0.25">
      <c r="A4800" t="s">
        <v>541</v>
      </c>
      <c r="B4800" t="s">
        <v>352</v>
      </c>
      <c r="C4800" s="2">
        <f>HYPERLINK("https://svao.dolgi.msk.ru/account/1760211606/", 1760211606)</f>
        <v>1760211606</v>
      </c>
      <c r="D4800">
        <v>5650.33</v>
      </c>
    </row>
    <row r="4801" spans="1:4" x14ac:dyDescent="0.25">
      <c r="A4801" t="s">
        <v>541</v>
      </c>
      <c r="B4801" t="s">
        <v>486</v>
      </c>
      <c r="C4801" s="2">
        <f>HYPERLINK("https://svao.dolgi.msk.ru/account/1760211614/", 1760211614)</f>
        <v>1760211614</v>
      </c>
      <c r="D4801">
        <v>8434.1</v>
      </c>
    </row>
    <row r="4802" spans="1:4" x14ac:dyDescent="0.25">
      <c r="A4802" t="s">
        <v>541</v>
      </c>
      <c r="B4802" t="s">
        <v>420</v>
      </c>
      <c r="C4802" s="2">
        <f>HYPERLINK("https://svao.dolgi.msk.ru/account/1760211622/", 1760211622)</f>
        <v>1760211622</v>
      </c>
      <c r="D4802">
        <v>2909.67</v>
      </c>
    </row>
    <row r="4803" spans="1:4" x14ac:dyDescent="0.25">
      <c r="A4803" t="s">
        <v>541</v>
      </c>
      <c r="B4803" t="s">
        <v>353</v>
      </c>
      <c r="C4803" s="2">
        <f>HYPERLINK("https://svao.dolgi.msk.ru/account/1760211649/", 1760211649)</f>
        <v>1760211649</v>
      </c>
      <c r="D4803">
        <v>8031.36</v>
      </c>
    </row>
    <row r="4804" spans="1:4" x14ac:dyDescent="0.25">
      <c r="A4804" t="s">
        <v>541</v>
      </c>
      <c r="B4804" t="s">
        <v>174</v>
      </c>
      <c r="C4804" s="2">
        <f>HYPERLINK("https://svao.dolgi.msk.ru/account/1760211665/", 1760211665)</f>
        <v>1760211665</v>
      </c>
      <c r="D4804">
        <v>3029.72</v>
      </c>
    </row>
    <row r="4805" spans="1:4" x14ac:dyDescent="0.25">
      <c r="A4805" t="s">
        <v>541</v>
      </c>
      <c r="B4805" t="s">
        <v>175</v>
      </c>
      <c r="C4805" s="2">
        <f>HYPERLINK("https://svao.dolgi.msk.ru/account/1760211702/", 1760211702)</f>
        <v>1760211702</v>
      </c>
      <c r="D4805">
        <v>5283.76</v>
      </c>
    </row>
    <row r="4806" spans="1:4" x14ac:dyDescent="0.25">
      <c r="A4806" t="s">
        <v>541</v>
      </c>
      <c r="B4806" t="s">
        <v>533</v>
      </c>
      <c r="C4806" s="2">
        <f>HYPERLINK("https://svao.dolgi.msk.ru/account/1760211729/", 1760211729)</f>
        <v>1760211729</v>
      </c>
      <c r="D4806">
        <v>5497.21</v>
      </c>
    </row>
    <row r="4807" spans="1:4" x14ac:dyDescent="0.25">
      <c r="A4807" t="s">
        <v>541</v>
      </c>
      <c r="B4807" t="s">
        <v>270</v>
      </c>
      <c r="C4807" s="2">
        <f>HYPERLINK("https://svao.dolgi.msk.ru/account/1760211817/", 1760211817)</f>
        <v>1760211817</v>
      </c>
      <c r="D4807">
        <v>161772.26</v>
      </c>
    </row>
    <row r="4808" spans="1:4" x14ac:dyDescent="0.25">
      <c r="A4808" t="s">
        <v>541</v>
      </c>
      <c r="B4808" t="s">
        <v>273</v>
      </c>
      <c r="C4808" s="2">
        <f>HYPERLINK("https://svao.dolgi.msk.ru/account/1760211905/", 1760211905)</f>
        <v>1760211905</v>
      </c>
      <c r="D4808">
        <v>2158.66</v>
      </c>
    </row>
    <row r="4809" spans="1:4" x14ac:dyDescent="0.25">
      <c r="A4809" t="s">
        <v>541</v>
      </c>
      <c r="B4809" t="s">
        <v>181</v>
      </c>
      <c r="C4809" s="2">
        <f>HYPERLINK("https://svao.dolgi.msk.ru/account/1760211948/", 1760211948)</f>
        <v>1760211948</v>
      </c>
      <c r="D4809">
        <v>4451.74</v>
      </c>
    </row>
    <row r="4810" spans="1:4" x14ac:dyDescent="0.25">
      <c r="A4810" t="s">
        <v>541</v>
      </c>
      <c r="B4810" t="s">
        <v>182</v>
      </c>
      <c r="C4810" s="2">
        <f>HYPERLINK("https://svao.dolgi.msk.ru/account/1760211956/", 1760211956)</f>
        <v>1760211956</v>
      </c>
      <c r="D4810">
        <v>7437.75</v>
      </c>
    </row>
    <row r="4811" spans="1:4" x14ac:dyDescent="0.25">
      <c r="A4811" t="s">
        <v>541</v>
      </c>
      <c r="B4811" t="s">
        <v>277</v>
      </c>
      <c r="C4811" s="2">
        <f>HYPERLINK("https://svao.dolgi.msk.ru/account/1760212123/", 1760212123)</f>
        <v>1760212123</v>
      </c>
      <c r="D4811">
        <v>7649.58</v>
      </c>
    </row>
    <row r="4812" spans="1:4" x14ac:dyDescent="0.25">
      <c r="A4812" t="s">
        <v>541</v>
      </c>
      <c r="B4812" t="s">
        <v>537</v>
      </c>
      <c r="C4812" s="2">
        <f>HYPERLINK("https://svao.dolgi.msk.ru/account/1761768385/", 1761768385)</f>
        <v>1761768385</v>
      </c>
      <c r="D4812">
        <v>233</v>
      </c>
    </row>
    <row r="4813" spans="1:4" x14ac:dyDescent="0.25">
      <c r="A4813" t="s">
        <v>541</v>
      </c>
      <c r="B4813" t="s">
        <v>505</v>
      </c>
      <c r="C4813" s="2">
        <f>HYPERLINK("https://svao.dolgi.msk.ru/account/1760212211/", 1760212211)</f>
        <v>1760212211</v>
      </c>
      <c r="D4813">
        <v>18349.900000000001</v>
      </c>
    </row>
    <row r="4814" spans="1:4" x14ac:dyDescent="0.25">
      <c r="A4814" t="s">
        <v>541</v>
      </c>
      <c r="B4814" t="s">
        <v>506</v>
      </c>
      <c r="C4814" s="2">
        <f>HYPERLINK("https://svao.dolgi.msk.ru/account/1760212246/", 1760212246)</f>
        <v>1760212246</v>
      </c>
      <c r="D4814">
        <v>3425.95</v>
      </c>
    </row>
    <row r="4815" spans="1:4" x14ac:dyDescent="0.25">
      <c r="A4815" t="s">
        <v>542</v>
      </c>
      <c r="B4815" t="s">
        <v>5</v>
      </c>
      <c r="C4815" s="2">
        <f>HYPERLINK("https://svao.dolgi.msk.ru/account/1760240968/", 1760240968)</f>
        <v>1760240968</v>
      </c>
      <c r="D4815">
        <v>5610.12</v>
      </c>
    </row>
    <row r="4816" spans="1:4" x14ac:dyDescent="0.25">
      <c r="A4816" t="s">
        <v>542</v>
      </c>
      <c r="B4816" t="s">
        <v>101</v>
      </c>
      <c r="C4816" s="2">
        <f>HYPERLINK("https://svao.dolgi.msk.ru/account/1760240984/", 1760240984)</f>
        <v>1760240984</v>
      </c>
      <c r="D4816">
        <v>7141.51</v>
      </c>
    </row>
    <row r="4817" spans="1:4" x14ac:dyDescent="0.25">
      <c r="A4817" t="s">
        <v>542</v>
      </c>
      <c r="B4817" t="s">
        <v>9</v>
      </c>
      <c r="C4817" s="2">
        <f>HYPERLINK("https://svao.dolgi.msk.ru/account/1760241135/", 1760241135)</f>
        <v>1760241135</v>
      </c>
      <c r="D4817">
        <v>6277.8</v>
      </c>
    </row>
    <row r="4818" spans="1:4" x14ac:dyDescent="0.25">
      <c r="A4818" t="s">
        <v>542</v>
      </c>
      <c r="B4818" t="s">
        <v>10</v>
      </c>
      <c r="C4818" s="2">
        <f>HYPERLINK("https://svao.dolgi.msk.ru/account/1761795391/", 1761795391)</f>
        <v>1761795391</v>
      </c>
      <c r="D4818">
        <v>4966.6099999999997</v>
      </c>
    </row>
    <row r="4819" spans="1:4" x14ac:dyDescent="0.25">
      <c r="A4819" t="s">
        <v>542</v>
      </c>
      <c r="B4819" t="s">
        <v>219</v>
      </c>
      <c r="C4819" s="2">
        <f>HYPERLINK("https://svao.dolgi.msk.ru/account/1760241194/", 1760241194)</f>
        <v>1760241194</v>
      </c>
      <c r="D4819">
        <v>12940.35</v>
      </c>
    </row>
    <row r="4820" spans="1:4" x14ac:dyDescent="0.25">
      <c r="A4820" t="s">
        <v>542</v>
      </c>
      <c r="B4820" t="s">
        <v>12</v>
      </c>
      <c r="C4820" s="2">
        <f>HYPERLINK("https://svao.dolgi.msk.ru/account/1760241215/", 1760241215)</f>
        <v>1760241215</v>
      </c>
      <c r="D4820">
        <v>6187.27</v>
      </c>
    </row>
    <row r="4821" spans="1:4" x14ac:dyDescent="0.25">
      <c r="A4821" t="s">
        <v>542</v>
      </c>
      <c r="B4821" t="s">
        <v>13</v>
      </c>
      <c r="C4821" s="2">
        <f>HYPERLINK("https://svao.dolgi.msk.ru/account/1760241223/", 1760241223)</f>
        <v>1760241223</v>
      </c>
      <c r="D4821">
        <v>12083.36</v>
      </c>
    </row>
    <row r="4822" spans="1:4" x14ac:dyDescent="0.25">
      <c r="A4822" t="s">
        <v>542</v>
      </c>
      <c r="B4822" t="s">
        <v>106</v>
      </c>
      <c r="C4822" s="2">
        <f>HYPERLINK("https://svao.dolgi.msk.ru/account/1760261304/", 1760261304)</f>
        <v>1760261304</v>
      </c>
      <c r="D4822">
        <v>490.44</v>
      </c>
    </row>
    <row r="4823" spans="1:4" x14ac:dyDescent="0.25">
      <c r="A4823" t="s">
        <v>542</v>
      </c>
      <c r="B4823" t="s">
        <v>106</v>
      </c>
      <c r="C4823" s="2">
        <f>HYPERLINK("https://svao.dolgi.msk.ru/account/1760262331/", 1760262331)</f>
        <v>1760262331</v>
      </c>
      <c r="D4823">
        <v>150.85</v>
      </c>
    </row>
    <row r="4824" spans="1:4" x14ac:dyDescent="0.25">
      <c r="A4824" t="s">
        <v>542</v>
      </c>
      <c r="B4824" t="s">
        <v>107</v>
      </c>
      <c r="C4824" s="2">
        <f>HYPERLINK("https://svao.dolgi.msk.ru/account/1760241274/", 1760241274)</f>
        <v>1760241274</v>
      </c>
      <c r="D4824">
        <v>11823.4</v>
      </c>
    </row>
    <row r="4825" spans="1:4" x14ac:dyDescent="0.25">
      <c r="A4825" t="s">
        <v>542</v>
      </c>
      <c r="B4825" t="s">
        <v>108</v>
      </c>
      <c r="C4825" s="2">
        <f>HYPERLINK("https://svao.dolgi.msk.ru/account/1760241303/", 1760241303)</f>
        <v>1760241303</v>
      </c>
      <c r="D4825">
        <v>4156.54</v>
      </c>
    </row>
    <row r="4826" spans="1:4" x14ac:dyDescent="0.25">
      <c r="A4826" t="s">
        <v>542</v>
      </c>
      <c r="B4826" t="s">
        <v>18</v>
      </c>
      <c r="C4826" s="2">
        <f>HYPERLINK("https://svao.dolgi.msk.ru/account/1760241354/", 1760241354)</f>
        <v>1760241354</v>
      </c>
      <c r="D4826">
        <v>11285.33</v>
      </c>
    </row>
    <row r="4827" spans="1:4" x14ac:dyDescent="0.25">
      <c r="A4827" t="s">
        <v>542</v>
      </c>
      <c r="B4827" t="s">
        <v>20</v>
      </c>
      <c r="C4827" s="2">
        <f>HYPERLINK("https://svao.dolgi.msk.ru/account/1760241434/", 1760241434)</f>
        <v>1760241434</v>
      </c>
      <c r="D4827">
        <v>5618.58</v>
      </c>
    </row>
    <row r="4828" spans="1:4" x14ac:dyDescent="0.25">
      <c r="A4828" t="s">
        <v>543</v>
      </c>
      <c r="B4828" t="s">
        <v>93</v>
      </c>
      <c r="C4828" s="2">
        <f>HYPERLINK("https://svao.dolgi.msk.ru/account/1760241442/", 1760241442)</f>
        <v>1760241442</v>
      </c>
      <c r="D4828">
        <v>8490.33</v>
      </c>
    </row>
    <row r="4829" spans="1:4" x14ac:dyDescent="0.25">
      <c r="A4829" t="s">
        <v>543</v>
      </c>
      <c r="B4829" t="s">
        <v>94</v>
      </c>
      <c r="C4829" s="2">
        <f>HYPERLINK("https://svao.dolgi.msk.ru/account/1760241477/", 1760241477)</f>
        <v>1760241477</v>
      </c>
      <c r="D4829">
        <v>2056.81</v>
      </c>
    </row>
    <row r="4830" spans="1:4" x14ac:dyDescent="0.25">
      <c r="A4830" t="s">
        <v>543</v>
      </c>
      <c r="B4830" t="s">
        <v>21</v>
      </c>
      <c r="C4830" s="2">
        <f>HYPERLINK("https://svao.dolgi.msk.ru/account/1760241514/", 1760241514)</f>
        <v>1760241514</v>
      </c>
      <c r="D4830">
        <v>14566.26</v>
      </c>
    </row>
    <row r="4831" spans="1:4" x14ac:dyDescent="0.25">
      <c r="A4831" t="s">
        <v>543</v>
      </c>
      <c r="B4831" t="s">
        <v>78</v>
      </c>
      <c r="C4831" s="2">
        <f>HYPERLINK("https://svao.dolgi.msk.ru/account/1760241557/", 1760241557)</f>
        <v>1760241557</v>
      </c>
      <c r="D4831">
        <v>6691.68</v>
      </c>
    </row>
    <row r="4832" spans="1:4" x14ac:dyDescent="0.25">
      <c r="A4832" t="s">
        <v>543</v>
      </c>
      <c r="B4832" t="s">
        <v>320</v>
      </c>
      <c r="C4832" s="2">
        <f>HYPERLINK("https://svao.dolgi.msk.ru/account/1760241645/", 1760241645)</f>
        <v>1760241645</v>
      </c>
      <c r="D4832">
        <v>126418.44</v>
      </c>
    </row>
    <row r="4833" spans="1:4" x14ac:dyDescent="0.25">
      <c r="A4833" t="s">
        <v>543</v>
      </c>
      <c r="B4833" t="s">
        <v>242</v>
      </c>
      <c r="C4833" s="2">
        <f>HYPERLINK("https://svao.dolgi.msk.ru/account/1760241688/", 1760241688)</f>
        <v>1760241688</v>
      </c>
      <c r="D4833">
        <v>9581.4500000000007</v>
      </c>
    </row>
    <row r="4834" spans="1:4" x14ac:dyDescent="0.25">
      <c r="A4834" t="s">
        <v>544</v>
      </c>
      <c r="B4834" t="s">
        <v>126</v>
      </c>
      <c r="C4834" s="2">
        <f>HYPERLINK("https://svao.dolgi.msk.ru/account/1760241725/", 1760241725)</f>
        <v>1760241725</v>
      </c>
      <c r="D4834">
        <v>299159.01</v>
      </c>
    </row>
    <row r="4835" spans="1:4" x14ac:dyDescent="0.25">
      <c r="A4835" t="s">
        <v>544</v>
      </c>
      <c r="B4835" t="s">
        <v>81</v>
      </c>
      <c r="C4835" s="2">
        <f>HYPERLINK("https://svao.dolgi.msk.ru/account/1760241776/", 1760241776)</f>
        <v>1760241776</v>
      </c>
      <c r="D4835">
        <v>8831.24</v>
      </c>
    </row>
    <row r="4836" spans="1:4" x14ac:dyDescent="0.25">
      <c r="A4836" t="s">
        <v>544</v>
      </c>
      <c r="B4836" t="s">
        <v>119</v>
      </c>
      <c r="C4836" s="2">
        <f>HYPERLINK("https://svao.dolgi.msk.ru/account/1760241784/", 1760241784)</f>
        <v>1760241784</v>
      </c>
      <c r="D4836">
        <v>14719.92</v>
      </c>
    </row>
    <row r="4837" spans="1:4" x14ac:dyDescent="0.25">
      <c r="A4837" t="s">
        <v>544</v>
      </c>
      <c r="B4837" t="s">
        <v>25</v>
      </c>
      <c r="C4837" s="2">
        <f>HYPERLINK("https://svao.dolgi.msk.ru/account/1760241813/", 1760241813)</f>
        <v>1760241813</v>
      </c>
      <c r="D4837">
        <v>8853.3799999999992</v>
      </c>
    </row>
    <row r="4838" spans="1:4" x14ac:dyDescent="0.25">
      <c r="A4838" t="s">
        <v>545</v>
      </c>
      <c r="B4838" t="s">
        <v>134</v>
      </c>
      <c r="C4838" s="2">
        <f>HYPERLINK("https://svao.dolgi.msk.ru/account/1760241952/", 1760241952)</f>
        <v>1760241952</v>
      </c>
      <c r="D4838">
        <v>128.47999999999999</v>
      </c>
    </row>
    <row r="4839" spans="1:4" x14ac:dyDescent="0.25">
      <c r="A4839" t="s">
        <v>545</v>
      </c>
      <c r="B4839" t="s">
        <v>139</v>
      </c>
      <c r="C4839" s="2">
        <f>HYPERLINK("https://svao.dolgi.msk.ru/account/1760241979/", 1760241979)</f>
        <v>1760241979</v>
      </c>
      <c r="D4839">
        <v>5055.5600000000004</v>
      </c>
    </row>
    <row r="4840" spans="1:4" x14ac:dyDescent="0.25">
      <c r="A4840" t="s">
        <v>545</v>
      </c>
      <c r="B4840" t="s">
        <v>244</v>
      </c>
      <c r="C4840" s="2">
        <f>HYPERLINK("https://svao.dolgi.msk.ru/account/1760242007/", 1760242007)</f>
        <v>1760242007</v>
      </c>
      <c r="D4840">
        <v>4288.7299999999996</v>
      </c>
    </row>
    <row r="4841" spans="1:4" x14ac:dyDescent="0.25">
      <c r="A4841" t="s">
        <v>545</v>
      </c>
      <c r="B4841" t="s">
        <v>30</v>
      </c>
      <c r="C4841" s="2">
        <f>HYPERLINK("https://svao.dolgi.msk.ru/account/1760242023/", 1760242023)</f>
        <v>1760242023</v>
      </c>
      <c r="D4841">
        <v>8539.2199999999993</v>
      </c>
    </row>
    <row r="4842" spans="1:4" x14ac:dyDescent="0.25">
      <c r="A4842" t="s">
        <v>545</v>
      </c>
      <c r="B4842" t="s">
        <v>98</v>
      </c>
      <c r="C4842" s="2">
        <f>HYPERLINK("https://svao.dolgi.msk.ru/account/1760242074/", 1760242074)</f>
        <v>1760242074</v>
      </c>
      <c r="D4842">
        <v>6995.58</v>
      </c>
    </row>
    <row r="4843" spans="1:4" x14ac:dyDescent="0.25">
      <c r="A4843" t="s">
        <v>545</v>
      </c>
      <c r="B4843" t="s">
        <v>245</v>
      </c>
      <c r="C4843" s="2">
        <f>HYPERLINK("https://svao.dolgi.msk.ru/account/1760242103/", 1760242103)</f>
        <v>1760242103</v>
      </c>
      <c r="D4843">
        <v>11764.93</v>
      </c>
    </row>
    <row r="4844" spans="1:4" x14ac:dyDescent="0.25">
      <c r="A4844" t="s">
        <v>545</v>
      </c>
      <c r="B4844" t="s">
        <v>34</v>
      </c>
      <c r="C4844" s="2">
        <f>HYPERLINK("https://svao.dolgi.msk.ru/account/1760242162/", 1760242162)</f>
        <v>1760242162</v>
      </c>
      <c r="D4844">
        <v>5454.19</v>
      </c>
    </row>
    <row r="4845" spans="1:4" x14ac:dyDescent="0.25">
      <c r="A4845" t="s">
        <v>545</v>
      </c>
      <c r="B4845" t="s">
        <v>99</v>
      </c>
      <c r="C4845" s="2">
        <f>HYPERLINK("https://svao.dolgi.msk.ru/account/1760242197/", 1760242197)</f>
        <v>1760242197</v>
      </c>
      <c r="D4845">
        <v>12344.93</v>
      </c>
    </row>
    <row r="4846" spans="1:4" x14ac:dyDescent="0.25">
      <c r="A4846" t="s">
        <v>545</v>
      </c>
      <c r="B4846" t="s">
        <v>86</v>
      </c>
      <c r="C4846" s="2">
        <f>HYPERLINK("https://svao.dolgi.msk.ru/account/1760242242/", 1760242242)</f>
        <v>1760242242</v>
      </c>
      <c r="D4846">
        <v>4706.25</v>
      </c>
    </row>
    <row r="4847" spans="1:4" x14ac:dyDescent="0.25">
      <c r="A4847" t="s">
        <v>545</v>
      </c>
      <c r="B4847" t="s">
        <v>36</v>
      </c>
      <c r="C4847" s="2">
        <f>HYPERLINK("https://svao.dolgi.msk.ru/account/1760242285/", 1760242285)</f>
        <v>1760242285</v>
      </c>
      <c r="D4847">
        <v>530.54999999999995</v>
      </c>
    </row>
    <row r="4848" spans="1:4" x14ac:dyDescent="0.25">
      <c r="A4848" t="s">
        <v>545</v>
      </c>
      <c r="B4848" t="s">
        <v>88</v>
      </c>
      <c r="C4848" s="2">
        <f>HYPERLINK("https://svao.dolgi.msk.ru/account/1760242293/", 1760242293)</f>
        <v>1760242293</v>
      </c>
      <c r="D4848">
        <v>11898.64</v>
      </c>
    </row>
    <row r="4849" spans="1:4" x14ac:dyDescent="0.25">
      <c r="A4849" t="s">
        <v>545</v>
      </c>
      <c r="B4849" t="s">
        <v>293</v>
      </c>
      <c r="C4849" s="2">
        <f>HYPERLINK("https://svao.dolgi.msk.ru/account/1760242306/", 1760242306)</f>
        <v>1760242306</v>
      </c>
      <c r="D4849">
        <v>6275.94</v>
      </c>
    </row>
    <row r="4850" spans="1:4" x14ac:dyDescent="0.25">
      <c r="A4850" t="s">
        <v>545</v>
      </c>
      <c r="B4850" t="s">
        <v>304</v>
      </c>
      <c r="C4850" s="2">
        <f>HYPERLINK("https://svao.dolgi.msk.ru/account/1760242314/", 1760242314)</f>
        <v>1760242314</v>
      </c>
      <c r="D4850">
        <v>5490.19</v>
      </c>
    </row>
    <row r="4851" spans="1:4" x14ac:dyDescent="0.25">
      <c r="A4851" t="s">
        <v>545</v>
      </c>
      <c r="B4851" t="s">
        <v>38</v>
      </c>
      <c r="C4851" s="2">
        <f>HYPERLINK("https://svao.dolgi.msk.ru/account/1760242349/", 1760242349)</f>
        <v>1760242349</v>
      </c>
      <c r="D4851">
        <v>243253.58</v>
      </c>
    </row>
    <row r="4852" spans="1:4" x14ac:dyDescent="0.25">
      <c r="A4852" t="s">
        <v>546</v>
      </c>
      <c r="B4852" t="s">
        <v>89</v>
      </c>
      <c r="C4852" s="2">
        <f>HYPERLINK("https://svao.dolgi.msk.ru/account/1760241127/", 1760241127)</f>
        <v>1760241127</v>
      </c>
      <c r="D4852">
        <v>16116.46</v>
      </c>
    </row>
    <row r="4853" spans="1:4" x14ac:dyDescent="0.25">
      <c r="A4853" t="s">
        <v>546</v>
      </c>
      <c r="B4853" t="s">
        <v>142</v>
      </c>
      <c r="C4853" s="2">
        <f>HYPERLINK("https://svao.dolgi.msk.ru/account/1760242437/", 1760242437)</f>
        <v>1760242437</v>
      </c>
      <c r="D4853">
        <v>18062.419999999998</v>
      </c>
    </row>
    <row r="4854" spans="1:4" x14ac:dyDescent="0.25">
      <c r="A4854" t="s">
        <v>546</v>
      </c>
      <c r="B4854" t="s">
        <v>247</v>
      </c>
      <c r="C4854" s="2">
        <f>HYPERLINK("https://svao.dolgi.msk.ru/account/1760242445/", 1760242445)</f>
        <v>1760242445</v>
      </c>
      <c r="D4854">
        <v>9323.7000000000007</v>
      </c>
    </row>
    <row r="4855" spans="1:4" x14ac:dyDescent="0.25">
      <c r="A4855" t="s">
        <v>546</v>
      </c>
      <c r="B4855" t="s">
        <v>143</v>
      </c>
      <c r="C4855" s="2">
        <f>HYPERLINK("https://svao.dolgi.msk.ru/account/1760242461/", 1760242461)</f>
        <v>1760242461</v>
      </c>
      <c r="D4855">
        <v>12300.82</v>
      </c>
    </row>
    <row r="4856" spans="1:4" x14ac:dyDescent="0.25">
      <c r="A4856" t="s">
        <v>546</v>
      </c>
      <c r="B4856" t="s">
        <v>144</v>
      </c>
      <c r="C4856" s="2">
        <f>HYPERLINK("https://svao.dolgi.msk.ru/account/1760242509/", 1760242509)</f>
        <v>1760242509</v>
      </c>
      <c r="D4856">
        <v>64909.25</v>
      </c>
    </row>
    <row r="4857" spans="1:4" x14ac:dyDescent="0.25">
      <c r="A4857" t="s">
        <v>546</v>
      </c>
      <c r="B4857" t="s">
        <v>144</v>
      </c>
      <c r="C4857" s="2">
        <f>HYPERLINK("https://svao.dolgi.msk.ru/account/1760242517/", 1760242517)</f>
        <v>1760242517</v>
      </c>
      <c r="D4857">
        <v>42839.51</v>
      </c>
    </row>
    <row r="4858" spans="1:4" x14ac:dyDescent="0.25">
      <c r="A4858" t="s">
        <v>546</v>
      </c>
      <c r="B4858" t="s">
        <v>144</v>
      </c>
      <c r="C4858" s="2">
        <f>HYPERLINK("https://svao.dolgi.msk.ru/account/1760242525/", 1760242525)</f>
        <v>1760242525</v>
      </c>
      <c r="D4858">
        <v>10175.39</v>
      </c>
    </row>
    <row r="4859" spans="1:4" x14ac:dyDescent="0.25">
      <c r="A4859" t="s">
        <v>546</v>
      </c>
      <c r="B4859" t="s">
        <v>315</v>
      </c>
      <c r="C4859" s="2">
        <f>HYPERLINK("https://svao.dolgi.msk.ru/account/1760242541/", 1760242541)</f>
        <v>1760242541</v>
      </c>
      <c r="D4859">
        <v>11155.39</v>
      </c>
    </row>
    <row r="4860" spans="1:4" x14ac:dyDescent="0.25">
      <c r="A4860" t="s">
        <v>546</v>
      </c>
      <c r="B4860" t="s">
        <v>301</v>
      </c>
      <c r="C4860" s="2">
        <f>HYPERLINK("https://svao.dolgi.msk.ru/account/1760242568/", 1760242568)</f>
        <v>1760242568</v>
      </c>
      <c r="D4860">
        <v>8670.34</v>
      </c>
    </row>
    <row r="4861" spans="1:4" x14ac:dyDescent="0.25">
      <c r="A4861" t="s">
        <v>546</v>
      </c>
      <c r="B4861" t="s">
        <v>145</v>
      </c>
      <c r="C4861" s="2">
        <f>HYPERLINK("https://svao.dolgi.msk.ru/account/1760242592/", 1760242592)</f>
        <v>1760242592</v>
      </c>
      <c r="D4861">
        <v>10289.25</v>
      </c>
    </row>
    <row r="4862" spans="1:4" x14ac:dyDescent="0.25">
      <c r="A4862" t="s">
        <v>546</v>
      </c>
      <c r="B4862" t="s">
        <v>339</v>
      </c>
      <c r="C4862" s="2">
        <f>HYPERLINK("https://svao.dolgi.msk.ru/account/1760242648/", 1760242648)</f>
        <v>1760242648</v>
      </c>
      <c r="D4862">
        <v>233041.65</v>
      </c>
    </row>
    <row r="4863" spans="1:4" x14ac:dyDescent="0.25">
      <c r="A4863" t="s">
        <v>547</v>
      </c>
      <c r="B4863" t="s">
        <v>163</v>
      </c>
      <c r="C4863" s="2">
        <f>HYPERLINK("https://svao.dolgi.msk.ru/account/1760242664/", 1760242664)</f>
        <v>1760242664</v>
      </c>
      <c r="D4863">
        <v>3920.33</v>
      </c>
    </row>
    <row r="4864" spans="1:4" x14ac:dyDescent="0.25">
      <c r="A4864" t="s">
        <v>547</v>
      </c>
      <c r="B4864" t="s">
        <v>163</v>
      </c>
      <c r="C4864" s="2">
        <f>HYPERLINK("https://svao.dolgi.msk.ru/account/1760242672/", 1760242672)</f>
        <v>1760242672</v>
      </c>
      <c r="D4864">
        <v>3365.22</v>
      </c>
    </row>
    <row r="4865" spans="1:4" x14ac:dyDescent="0.25">
      <c r="A4865" t="s">
        <v>547</v>
      </c>
      <c r="B4865" t="s">
        <v>434</v>
      </c>
      <c r="C4865" s="2">
        <f>HYPERLINK("https://svao.dolgi.msk.ru/account/1760242701/", 1760242701)</f>
        <v>1760242701</v>
      </c>
      <c r="D4865">
        <v>2208.08</v>
      </c>
    </row>
    <row r="4866" spans="1:4" x14ac:dyDescent="0.25">
      <c r="A4866" t="s">
        <v>547</v>
      </c>
      <c r="B4866" t="s">
        <v>434</v>
      </c>
      <c r="C4866" s="2">
        <f>HYPERLINK("https://svao.dolgi.msk.ru/account/1760242736/", 1760242736)</f>
        <v>1760242736</v>
      </c>
      <c r="D4866">
        <v>985.33</v>
      </c>
    </row>
    <row r="4867" spans="1:4" x14ac:dyDescent="0.25">
      <c r="A4867" t="s">
        <v>547</v>
      </c>
      <c r="B4867" t="s">
        <v>434</v>
      </c>
      <c r="C4867" s="2">
        <f>HYPERLINK("https://svao.dolgi.msk.ru/account/1760270817/", 1760270817)</f>
        <v>1760270817</v>
      </c>
      <c r="D4867">
        <v>34032.629999999997</v>
      </c>
    </row>
    <row r="4868" spans="1:4" x14ac:dyDescent="0.25">
      <c r="A4868" t="s">
        <v>547</v>
      </c>
      <c r="B4868" t="s">
        <v>416</v>
      </c>
      <c r="C4868" s="2">
        <f>HYPERLINK("https://svao.dolgi.msk.ru/account/1760242795/", 1760242795)</f>
        <v>1760242795</v>
      </c>
      <c r="D4868">
        <v>309801.14</v>
      </c>
    </row>
    <row r="4869" spans="1:4" x14ac:dyDescent="0.25">
      <c r="A4869" t="s">
        <v>547</v>
      </c>
      <c r="B4869" t="s">
        <v>347</v>
      </c>
      <c r="C4869" s="2">
        <f>HYPERLINK("https://svao.dolgi.msk.ru/account/1760242859/", 1760242859)</f>
        <v>1760242859</v>
      </c>
      <c r="D4869">
        <v>8122.79</v>
      </c>
    </row>
    <row r="4870" spans="1:4" x14ac:dyDescent="0.25">
      <c r="A4870" t="s">
        <v>548</v>
      </c>
      <c r="B4870" t="s">
        <v>165</v>
      </c>
      <c r="C4870" s="2">
        <f>HYPERLINK("https://svao.dolgi.msk.ru/account/1760242867/", 1760242867)</f>
        <v>1760242867</v>
      </c>
      <c r="D4870">
        <v>4035.73</v>
      </c>
    </row>
    <row r="4871" spans="1:4" x14ac:dyDescent="0.25">
      <c r="A4871" t="s">
        <v>548</v>
      </c>
      <c r="B4871" t="s">
        <v>454</v>
      </c>
      <c r="C4871" s="2">
        <f>HYPERLINK("https://svao.dolgi.msk.ru/account/1760242904/", 1760242904)</f>
        <v>1760242904</v>
      </c>
      <c r="D4871">
        <v>162.41999999999999</v>
      </c>
    </row>
    <row r="4872" spans="1:4" x14ac:dyDescent="0.25">
      <c r="A4872" t="s">
        <v>548</v>
      </c>
      <c r="B4872" t="s">
        <v>168</v>
      </c>
      <c r="C4872" s="2">
        <f>HYPERLINK("https://svao.dolgi.msk.ru/account/1760242939/", 1760242939)</f>
        <v>1760242939</v>
      </c>
      <c r="D4872">
        <v>8986.2000000000007</v>
      </c>
    </row>
    <row r="4873" spans="1:4" x14ac:dyDescent="0.25">
      <c r="A4873" t="s">
        <v>548</v>
      </c>
      <c r="B4873" t="s">
        <v>419</v>
      </c>
      <c r="C4873" s="2">
        <f>HYPERLINK("https://svao.dolgi.msk.ru/account/1760242955/", 1760242955)</f>
        <v>1760242955</v>
      </c>
      <c r="D4873">
        <v>4645.05</v>
      </c>
    </row>
    <row r="4874" spans="1:4" x14ac:dyDescent="0.25">
      <c r="A4874" t="s">
        <v>548</v>
      </c>
      <c r="B4874" t="s">
        <v>265</v>
      </c>
      <c r="C4874" s="2">
        <f>HYPERLINK("https://svao.dolgi.msk.ru/account/1760243093/", 1760243093)</f>
        <v>1760243093</v>
      </c>
      <c r="D4874">
        <v>2199.94</v>
      </c>
    </row>
    <row r="4875" spans="1:4" x14ac:dyDescent="0.25">
      <c r="A4875" t="s">
        <v>548</v>
      </c>
      <c r="B4875" t="s">
        <v>349</v>
      </c>
      <c r="C4875" s="2">
        <f>HYPERLINK("https://svao.dolgi.msk.ru/account/1760243165/", 1760243165)</f>
        <v>1760243165</v>
      </c>
      <c r="D4875">
        <v>11214.13</v>
      </c>
    </row>
    <row r="4876" spans="1:4" x14ac:dyDescent="0.25">
      <c r="A4876" t="s">
        <v>548</v>
      </c>
      <c r="B4876" t="s">
        <v>173</v>
      </c>
      <c r="C4876" s="2">
        <f>HYPERLINK("https://svao.dolgi.msk.ru/account/1760243173/", 1760243173)</f>
        <v>1760243173</v>
      </c>
      <c r="D4876">
        <v>12818.64</v>
      </c>
    </row>
    <row r="4877" spans="1:4" x14ac:dyDescent="0.25">
      <c r="A4877" t="s">
        <v>548</v>
      </c>
      <c r="B4877" t="s">
        <v>479</v>
      </c>
      <c r="C4877" s="2">
        <f>HYPERLINK("https://svao.dolgi.msk.ru/account/1760243181/", 1760243181)</f>
        <v>1760243181</v>
      </c>
      <c r="D4877">
        <v>7859.59</v>
      </c>
    </row>
    <row r="4878" spans="1:4" x14ac:dyDescent="0.25">
      <c r="A4878" t="s">
        <v>548</v>
      </c>
      <c r="B4878" t="s">
        <v>175</v>
      </c>
      <c r="C4878" s="2">
        <f>HYPERLINK("https://svao.dolgi.msk.ru/account/1760243333/", 1760243333)</f>
        <v>1760243333</v>
      </c>
      <c r="D4878">
        <v>6659.16</v>
      </c>
    </row>
    <row r="4879" spans="1:4" x14ac:dyDescent="0.25">
      <c r="A4879" t="s">
        <v>548</v>
      </c>
      <c r="B4879" t="s">
        <v>533</v>
      </c>
      <c r="C4879" s="2">
        <f>HYPERLINK("https://svao.dolgi.msk.ru/account/1760243376/", 1760243376)</f>
        <v>1760243376</v>
      </c>
      <c r="D4879">
        <v>430381.34</v>
      </c>
    </row>
    <row r="4880" spans="1:4" x14ac:dyDescent="0.25">
      <c r="A4880" t="s">
        <v>549</v>
      </c>
      <c r="B4880" t="s">
        <v>274</v>
      </c>
      <c r="C4880" s="2">
        <f>HYPERLINK("https://svao.dolgi.msk.ru/account/1760243552/", 1760243552)</f>
        <v>1760243552</v>
      </c>
      <c r="D4880">
        <v>9398.82</v>
      </c>
    </row>
    <row r="4881" spans="1:4" x14ac:dyDescent="0.25">
      <c r="A4881" t="s">
        <v>550</v>
      </c>
      <c r="B4881" t="s">
        <v>355</v>
      </c>
      <c r="C4881" s="2">
        <f>HYPERLINK("https://svao.dolgi.msk.ru/account/1760243675/", 1760243675)</f>
        <v>1760243675</v>
      </c>
      <c r="D4881">
        <v>13767.55</v>
      </c>
    </row>
    <row r="4882" spans="1:4" x14ac:dyDescent="0.25">
      <c r="A4882" t="s">
        <v>550</v>
      </c>
      <c r="B4882" t="s">
        <v>356</v>
      </c>
      <c r="C4882" s="2">
        <f>HYPERLINK("https://svao.dolgi.msk.ru/account/1760243683/", 1760243683)</f>
        <v>1760243683</v>
      </c>
      <c r="D4882">
        <v>6621.91</v>
      </c>
    </row>
    <row r="4883" spans="1:4" x14ac:dyDescent="0.25">
      <c r="A4883" t="s">
        <v>550</v>
      </c>
      <c r="B4883" t="s">
        <v>421</v>
      </c>
      <c r="C4883" s="2">
        <f>HYPERLINK("https://svao.dolgi.msk.ru/account/1760243704/", 1760243704)</f>
        <v>1760243704</v>
      </c>
      <c r="D4883">
        <v>227858.83</v>
      </c>
    </row>
    <row r="4884" spans="1:4" x14ac:dyDescent="0.25">
      <c r="A4884" t="s">
        <v>550</v>
      </c>
      <c r="B4884" t="s">
        <v>537</v>
      </c>
      <c r="C4884" s="2">
        <f>HYPERLINK("https://svao.dolgi.msk.ru/account/1760243835/", 1760243835)</f>
        <v>1760243835</v>
      </c>
      <c r="D4884">
        <v>10461.44</v>
      </c>
    </row>
    <row r="4885" spans="1:4" x14ac:dyDescent="0.25">
      <c r="A4885" t="s">
        <v>550</v>
      </c>
      <c r="B4885" t="s">
        <v>358</v>
      </c>
      <c r="C4885" s="2">
        <f>HYPERLINK("https://svao.dolgi.msk.ru/account/1760243923/", 1760243923)</f>
        <v>1760243923</v>
      </c>
      <c r="D4885">
        <v>3825.61</v>
      </c>
    </row>
    <row r="4886" spans="1:4" x14ac:dyDescent="0.25">
      <c r="A4886" t="s">
        <v>550</v>
      </c>
      <c r="B4886" t="s">
        <v>358</v>
      </c>
      <c r="C4886" s="2">
        <f>HYPERLINK("https://svao.dolgi.msk.ru/account/1761790136/", 1761790136)</f>
        <v>1761790136</v>
      </c>
      <c r="D4886">
        <v>3174.02</v>
      </c>
    </row>
    <row r="4887" spans="1:4" x14ac:dyDescent="0.25">
      <c r="A4887" t="s">
        <v>550</v>
      </c>
      <c r="B4887" t="s">
        <v>359</v>
      </c>
      <c r="C4887" s="2">
        <f>HYPERLINK("https://svao.dolgi.msk.ru/account/1760243958/", 1760243958)</f>
        <v>1760243958</v>
      </c>
      <c r="D4887">
        <v>7235.63</v>
      </c>
    </row>
    <row r="4888" spans="1:4" x14ac:dyDescent="0.25">
      <c r="A4888" t="s">
        <v>550</v>
      </c>
      <c r="B4888" t="s">
        <v>187</v>
      </c>
      <c r="C4888" s="2">
        <f>HYPERLINK("https://svao.dolgi.msk.ru/account/1760243966/", 1760243966)</f>
        <v>1760243966</v>
      </c>
      <c r="D4888">
        <v>18289.32</v>
      </c>
    </row>
    <row r="4889" spans="1:4" x14ac:dyDescent="0.25">
      <c r="A4889" t="s">
        <v>551</v>
      </c>
      <c r="B4889" t="s">
        <v>188</v>
      </c>
      <c r="C4889" s="2">
        <f>HYPERLINK("https://svao.dolgi.msk.ru/account/1760243974/", 1760243974)</f>
        <v>1760243974</v>
      </c>
      <c r="D4889">
        <v>6351.67</v>
      </c>
    </row>
    <row r="4890" spans="1:4" x14ac:dyDescent="0.25">
      <c r="A4890" t="s">
        <v>551</v>
      </c>
      <c r="B4890" t="s">
        <v>190</v>
      </c>
      <c r="C4890" s="2">
        <f>HYPERLINK("https://svao.dolgi.msk.ru/account/1760244037/", 1760244037)</f>
        <v>1760244037</v>
      </c>
      <c r="D4890">
        <v>7060.16</v>
      </c>
    </row>
    <row r="4891" spans="1:4" x14ac:dyDescent="0.25">
      <c r="A4891" t="s">
        <v>551</v>
      </c>
      <c r="B4891" t="s">
        <v>517</v>
      </c>
      <c r="C4891" s="2">
        <f>HYPERLINK("https://svao.dolgi.msk.ru/account/1760244061/", 1760244061)</f>
        <v>1760244061</v>
      </c>
      <c r="D4891">
        <v>7595.27</v>
      </c>
    </row>
    <row r="4892" spans="1:4" x14ac:dyDescent="0.25">
      <c r="A4892" t="s">
        <v>551</v>
      </c>
      <c r="B4892" t="s">
        <v>191</v>
      </c>
      <c r="C4892" s="2">
        <f>HYPERLINK("https://svao.dolgi.msk.ru/account/1760244096/", 1760244096)</f>
        <v>1760244096</v>
      </c>
      <c r="D4892">
        <v>4400.05</v>
      </c>
    </row>
    <row r="4893" spans="1:4" x14ac:dyDescent="0.25">
      <c r="A4893" t="s">
        <v>551</v>
      </c>
      <c r="B4893" t="s">
        <v>489</v>
      </c>
      <c r="C4893" s="2">
        <f>HYPERLINK("https://svao.dolgi.msk.ru/account/1760244117/", 1760244117)</f>
        <v>1760244117</v>
      </c>
      <c r="D4893">
        <v>9660.17</v>
      </c>
    </row>
    <row r="4894" spans="1:4" x14ac:dyDescent="0.25">
      <c r="A4894" t="s">
        <v>551</v>
      </c>
      <c r="B4894" t="s">
        <v>539</v>
      </c>
      <c r="C4894" s="2">
        <f>HYPERLINK("https://svao.dolgi.msk.ru/account/1760244125/", 1760244125)</f>
        <v>1760244125</v>
      </c>
      <c r="D4894">
        <v>11131.39</v>
      </c>
    </row>
    <row r="4895" spans="1:4" x14ac:dyDescent="0.25">
      <c r="A4895" t="s">
        <v>551</v>
      </c>
      <c r="B4895" t="s">
        <v>539</v>
      </c>
      <c r="C4895" s="2">
        <f>HYPERLINK("https://svao.dolgi.msk.ru/account/1760244133/", 1760244133)</f>
        <v>1760244133</v>
      </c>
      <c r="D4895">
        <v>470.68</v>
      </c>
    </row>
    <row r="4896" spans="1:4" x14ac:dyDescent="0.25">
      <c r="A4896" t="s">
        <v>551</v>
      </c>
      <c r="B4896" t="s">
        <v>280</v>
      </c>
      <c r="C4896" s="2">
        <f>HYPERLINK("https://svao.dolgi.msk.ru/account/1760244141/", 1760244141)</f>
        <v>1760244141</v>
      </c>
      <c r="D4896">
        <v>13894.33</v>
      </c>
    </row>
    <row r="4897" spans="1:4" x14ac:dyDescent="0.25">
      <c r="A4897" t="s">
        <v>551</v>
      </c>
      <c r="B4897" t="s">
        <v>282</v>
      </c>
      <c r="C4897" s="2">
        <f>HYPERLINK("https://svao.dolgi.msk.ru/account/1760244256/", 1760244256)</f>
        <v>1760244256</v>
      </c>
      <c r="D4897">
        <v>6131.78</v>
      </c>
    </row>
    <row r="4898" spans="1:4" x14ac:dyDescent="0.25">
      <c r="A4898" t="s">
        <v>551</v>
      </c>
      <c r="B4898" t="s">
        <v>363</v>
      </c>
      <c r="C4898" s="2">
        <f>HYPERLINK("https://svao.dolgi.msk.ru/account/1760244336/", 1760244336)</f>
        <v>1760244336</v>
      </c>
      <c r="D4898">
        <v>7590.99</v>
      </c>
    </row>
    <row r="4899" spans="1:4" x14ac:dyDescent="0.25">
      <c r="A4899" t="s">
        <v>551</v>
      </c>
      <c r="B4899" t="s">
        <v>508</v>
      </c>
      <c r="C4899" s="2">
        <f>HYPERLINK("https://svao.dolgi.msk.ru/account/1760244352/", 1760244352)</f>
        <v>1760244352</v>
      </c>
      <c r="D4899">
        <v>5833.3</v>
      </c>
    </row>
    <row r="4900" spans="1:4" x14ac:dyDescent="0.25">
      <c r="A4900" t="s">
        <v>551</v>
      </c>
      <c r="B4900" t="s">
        <v>510</v>
      </c>
      <c r="C4900" s="2">
        <f>HYPERLINK("https://svao.dolgi.msk.ru/account/1760244387/", 1760244387)</f>
        <v>1760244387</v>
      </c>
      <c r="D4900">
        <v>7052.82</v>
      </c>
    </row>
    <row r="4901" spans="1:4" x14ac:dyDescent="0.25">
      <c r="A4901" t="s">
        <v>551</v>
      </c>
      <c r="B4901" t="s">
        <v>198</v>
      </c>
      <c r="C4901" s="2">
        <f>HYPERLINK("https://svao.dolgi.msk.ru/account/1760244408/", 1760244408)</f>
        <v>1760244408</v>
      </c>
      <c r="D4901">
        <v>31839.01</v>
      </c>
    </row>
    <row r="4902" spans="1:4" x14ac:dyDescent="0.25">
      <c r="A4902" t="s">
        <v>552</v>
      </c>
      <c r="B4902" t="s">
        <v>199</v>
      </c>
      <c r="C4902" s="2">
        <f>HYPERLINK("https://svao.dolgi.msk.ru/account/1760244432/", 1760244432)</f>
        <v>1760244432</v>
      </c>
      <c r="D4902">
        <v>7698.05</v>
      </c>
    </row>
    <row r="4903" spans="1:4" x14ac:dyDescent="0.25">
      <c r="A4903" t="s">
        <v>552</v>
      </c>
      <c r="B4903" t="s">
        <v>199</v>
      </c>
      <c r="C4903" s="2">
        <f>HYPERLINK("https://svao.dolgi.msk.ru/account/1760244459/", 1760244459)</f>
        <v>1760244459</v>
      </c>
      <c r="D4903">
        <v>1411.86</v>
      </c>
    </row>
    <row r="4904" spans="1:4" x14ac:dyDescent="0.25">
      <c r="A4904" t="s">
        <v>552</v>
      </c>
      <c r="B4904" t="s">
        <v>200</v>
      </c>
      <c r="C4904" s="2">
        <f>HYPERLINK("https://svao.dolgi.msk.ru/account/1760244475/", 1760244475)</f>
        <v>1760244475</v>
      </c>
      <c r="D4904">
        <v>4907.78</v>
      </c>
    </row>
    <row r="4905" spans="1:4" x14ac:dyDescent="0.25">
      <c r="A4905" t="s">
        <v>552</v>
      </c>
      <c r="B4905" t="s">
        <v>553</v>
      </c>
      <c r="C4905" s="2">
        <f>HYPERLINK("https://svao.dolgi.msk.ru/account/1760256003/", 1760256003)</f>
        <v>1760256003</v>
      </c>
      <c r="D4905">
        <v>168.19</v>
      </c>
    </row>
    <row r="4906" spans="1:4" x14ac:dyDescent="0.25">
      <c r="A4906" t="s">
        <v>552</v>
      </c>
      <c r="B4906" t="s">
        <v>204</v>
      </c>
      <c r="C4906" s="2">
        <f>HYPERLINK("https://svao.dolgi.msk.ru/account/1760244547/", 1760244547)</f>
        <v>1760244547</v>
      </c>
      <c r="D4906">
        <v>7890.21</v>
      </c>
    </row>
    <row r="4907" spans="1:4" x14ac:dyDescent="0.25">
      <c r="A4907" t="s">
        <v>552</v>
      </c>
      <c r="B4907" t="s">
        <v>207</v>
      </c>
      <c r="C4907" s="2">
        <f>HYPERLINK("https://svao.dolgi.msk.ru/account/1760244627/", 1760244627)</f>
        <v>1760244627</v>
      </c>
      <c r="D4907">
        <v>7955.2</v>
      </c>
    </row>
    <row r="4908" spans="1:4" x14ac:dyDescent="0.25">
      <c r="A4908" t="s">
        <v>552</v>
      </c>
      <c r="B4908" t="s">
        <v>285</v>
      </c>
      <c r="C4908" s="2">
        <f>HYPERLINK("https://svao.dolgi.msk.ru/account/1760244635/", 1760244635)</f>
        <v>1760244635</v>
      </c>
      <c r="D4908">
        <v>601.87</v>
      </c>
    </row>
    <row r="4909" spans="1:4" x14ac:dyDescent="0.25">
      <c r="A4909" t="s">
        <v>552</v>
      </c>
      <c r="B4909" t="s">
        <v>286</v>
      </c>
      <c r="C4909" s="2">
        <f>HYPERLINK("https://svao.dolgi.msk.ru/account/1760244707/", 1760244707)</f>
        <v>1760244707</v>
      </c>
      <c r="D4909">
        <v>925.75</v>
      </c>
    </row>
    <row r="4910" spans="1:4" x14ac:dyDescent="0.25">
      <c r="A4910" t="s">
        <v>552</v>
      </c>
      <c r="B4910" t="s">
        <v>512</v>
      </c>
      <c r="C4910" s="2">
        <f>HYPERLINK("https://svao.dolgi.msk.ru/account/1760244651/", 1760244651)</f>
        <v>1760244651</v>
      </c>
      <c r="D4910">
        <v>65864.929999999993</v>
      </c>
    </row>
    <row r="4911" spans="1:4" x14ac:dyDescent="0.25">
      <c r="A4911" t="s">
        <v>552</v>
      </c>
      <c r="B4911" t="s">
        <v>520</v>
      </c>
      <c r="C4911" s="2">
        <f>HYPERLINK("https://svao.dolgi.msk.ru/account/1760244678/", 1760244678)</f>
        <v>1760244678</v>
      </c>
      <c r="D4911">
        <v>2330.7800000000002</v>
      </c>
    </row>
    <row r="4912" spans="1:4" x14ac:dyDescent="0.25">
      <c r="A4912" t="s">
        <v>552</v>
      </c>
      <c r="B4912" t="s">
        <v>520</v>
      </c>
      <c r="C4912" s="2">
        <f>HYPERLINK("https://svao.dolgi.msk.ru/account/1760244686/", 1760244686)</f>
        <v>1760244686</v>
      </c>
      <c r="D4912">
        <v>5761.29</v>
      </c>
    </row>
    <row r="4913" spans="1:4" x14ac:dyDescent="0.25">
      <c r="A4913" t="s">
        <v>552</v>
      </c>
      <c r="B4913" t="s">
        <v>209</v>
      </c>
      <c r="C4913" s="2">
        <f>HYPERLINK("https://svao.dolgi.msk.ru/account/1760244723/", 1760244723)</f>
        <v>1760244723</v>
      </c>
      <c r="D4913">
        <v>410644.39</v>
      </c>
    </row>
    <row r="4914" spans="1:4" x14ac:dyDescent="0.25">
      <c r="A4914" t="s">
        <v>552</v>
      </c>
      <c r="B4914" t="s">
        <v>554</v>
      </c>
      <c r="C4914" s="2">
        <f>HYPERLINK("https://svao.dolgi.msk.ru/account/1760244731/", 1760244731)</f>
        <v>1760244731</v>
      </c>
      <c r="D4914">
        <v>4314.5</v>
      </c>
    </row>
    <row r="4915" spans="1:4" x14ac:dyDescent="0.25">
      <c r="A4915" t="s">
        <v>552</v>
      </c>
      <c r="B4915" t="s">
        <v>491</v>
      </c>
      <c r="C4915" s="2">
        <f>HYPERLINK("https://svao.dolgi.msk.ru/account/1760244758/", 1760244758)</f>
        <v>1760244758</v>
      </c>
      <c r="D4915">
        <v>27063.77</v>
      </c>
    </row>
    <row r="4916" spans="1:4" x14ac:dyDescent="0.25">
      <c r="A4916" t="s">
        <v>552</v>
      </c>
      <c r="B4916" t="s">
        <v>492</v>
      </c>
      <c r="C4916" s="2">
        <f>HYPERLINK("https://svao.dolgi.msk.ru/account/1760244803/", 1760244803)</f>
        <v>1760244803</v>
      </c>
      <c r="D4916">
        <v>7825.08</v>
      </c>
    </row>
    <row r="4917" spans="1:4" x14ac:dyDescent="0.25">
      <c r="A4917" t="s">
        <v>552</v>
      </c>
      <c r="B4917" t="s">
        <v>210</v>
      </c>
      <c r="C4917" s="2">
        <f>HYPERLINK("https://svao.dolgi.msk.ru/account/1760244811/", 1760244811)</f>
        <v>1760244811</v>
      </c>
      <c r="D4917">
        <v>5431.75</v>
      </c>
    </row>
    <row r="4918" spans="1:4" x14ac:dyDescent="0.25">
      <c r="A4918" t="s">
        <v>552</v>
      </c>
      <c r="B4918" t="s">
        <v>493</v>
      </c>
      <c r="C4918" s="2">
        <f>HYPERLINK("https://svao.dolgi.msk.ru/account/1760244838/", 1760244838)</f>
        <v>1760244838</v>
      </c>
      <c r="D4918">
        <v>6143.2</v>
      </c>
    </row>
    <row r="4919" spans="1:4" x14ac:dyDescent="0.25">
      <c r="A4919" t="s">
        <v>552</v>
      </c>
      <c r="B4919" t="s">
        <v>494</v>
      </c>
      <c r="C4919" s="2">
        <f>HYPERLINK("https://svao.dolgi.msk.ru/account/1760260926/", 1760260926)</f>
        <v>1760260926</v>
      </c>
      <c r="D4919">
        <v>644.07000000000005</v>
      </c>
    </row>
    <row r="4920" spans="1:4" x14ac:dyDescent="0.25">
      <c r="A4920" t="s">
        <v>552</v>
      </c>
      <c r="B4920" t="s">
        <v>211</v>
      </c>
      <c r="C4920" s="2">
        <f>HYPERLINK("https://svao.dolgi.msk.ru/account/1760270737/", 1760270737)</f>
        <v>1760270737</v>
      </c>
      <c r="D4920">
        <v>4442.99</v>
      </c>
    </row>
    <row r="4921" spans="1:4" x14ac:dyDescent="0.25">
      <c r="A4921" t="s">
        <v>555</v>
      </c>
      <c r="B4921" t="s">
        <v>212</v>
      </c>
      <c r="C4921" s="2">
        <f>HYPERLINK("https://svao.dolgi.msk.ru/account/1760245355/", 1760245355)</f>
        <v>1760245355</v>
      </c>
      <c r="D4921">
        <v>4532.51</v>
      </c>
    </row>
    <row r="4922" spans="1:4" x14ac:dyDescent="0.25">
      <c r="A4922" t="s">
        <v>555</v>
      </c>
      <c r="B4922" t="s">
        <v>514</v>
      </c>
      <c r="C4922" s="2">
        <f>HYPERLINK("https://svao.dolgi.msk.ru/account/1760245005/", 1760245005)</f>
        <v>1760245005</v>
      </c>
      <c r="D4922">
        <v>4231.04</v>
      </c>
    </row>
    <row r="4923" spans="1:4" x14ac:dyDescent="0.25">
      <c r="A4923" t="s">
        <v>555</v>
      </c>
      <c r="B4923" t="s">
        <v>215</v>
      </c>
      <c r="C4923" s="2">
        <f>HYPERLINK("https://svao.dolgi.msk.ru/account/1760245072/", 1760245072)</f>
        <v>1760245072</v>
      </c>
      <c r="D4923">
        <v>15363.1</v>
      </c>
    </row>
    <row r="4924" spans="1:4" x14ac:dyDescent="0.25">
      <c r="A4924" t="s">
        <v>555</v>
      </c>
      <c r="B4924" t="s">
        <v>556</v>
      </c>
      <c r="C4924" s="2">
        <f>HYPERLINK("https://svao.dolgi.msk.ru/account/1760245144/", 1760245144)</f>
        <v>1760245144</v>
      </c>
      <c r="D4924">
        <v>209985.95</v>
      </c>
    </row>
    <row r="4925" spans="1:4" x14ac:dyDescent="0.25">
      <c r="A4925" t="s">
        <v>555</v>
      </c>
      <c r="B4925" t="s">
        <v>216</v>
      </c>
      <c r="C4925" s="2">
        <f>HYPERLINK("https://svao.dolgi.msk.ru/account/1760245152/", 1760245152)</f>
        <v>1760245152</v>
      </c>
      <c r="D4925">
        <v>6736.38</v>
      </c>
    </row>
    <row r="4926" spans="1:4" x14ac:dyDescent="0.25">
      <c r="A4926" t="s">
        <v>555</v>
      </c>
      <c r="B4926" t="s">
        <v>557</v>
      </c>
      <c r="C4926" s="2">
        <f>HYPERLINK("https://svao.dolgi.msk.ru/account/1760245208/", 1760245208)</f>
        <v>1760245208</v>
      </c>
      <c r="D4926">
        <v>6186.14</v>
      </c>
    </row>
    <row r="4927" spans="1:4" x14ac:dyDescent="0.25">
      <c r="A4927" t="s">
        <v>555</v>
      </c>
      <c r="B4927" t="s">
        <v>558</v>
      </c>
      <c r="C4927" s="2">
        <f>HYPERLINK("https://svao.dolgi.msk.ru/account/1760245259/", 1760245259)</f>
        <v>1760245259</v>
      </c>
      <c r="D4927">
        <v>8918.7000000000007</v>
      </c>
    </row>
    <row r="4928" spans="1:4" x14ac:dyDescent="0.25">
      <c r="A4928" t="s">
        <v>555</v>
      </c>
      <c r="B4928" t="s">
        <v>559</v>
      </c>
      <c r="C4928" s="2">
        <f>HYPERLINK("https://svao.dolgi.msk.ru/account/1760245304/", 1760245304)</f>
        <v>1760245304</v>
      </c>
      <c r="D4928">
        <v>13093.25</v>
      </c>
    </row>
    <row r="4929" spans="1:4" x14ac:dyDescent="0.25">
      <c r="A4929" t="s">
        <v>555</v>
      </c>
      <c r="B4929" t="s">
        <v>560</v>
      </c>
      <c r="C4929" s="2">
        <f>HYPERLINK("https://svao.dolgi.msk.ru/account/1760245312/", 1760245312)</f>
        <v>1760245312</v>
      </c>
      <c r="D4929">
        <v>4526.41</v>
      </c>
    </row>
    <row r="4930" spans="1:4" x14ac:dyDescent="0.25">
      <c r="A4930" t="s">
        <v>561</v>
      </c>
      <c r="B4930" t="s">
        <v>6</v>
      </c>
      <c r="C4930" s="2">
        <f>HYPERLINK("https://svao.dolgi.msk.ru/account/1760250568/", 1760250568)</f>
        <v>1760250568</v>
      </c>
      <c r="D4930">
        <v>6005.68</v>
      </c>
    </row>
    <row r="4931" spans="1:4" x14ac:dyDescent="0.25">
      <c r="A4931" t="s">
        <v>561</v>
      </c>
      <c r="B4931" t="s">
        <v>41</v>
      </c>
      <c r="C4931" s="2">
        <f>HYPERLINK("https://svao.dolgi.msk.ru/account/1760250576/", 1760250576)</f>
        <v>1760250576</v>
      </c>
      <c r="D4931">
        <v>4962.09</v>
      </c>
    </row>
    <row r="4932" spans="1:4" x14ac:dyDescent="0.25">
      <c r="A4932" t="s">
        <v>561</v>
      </c>
      <c r="B4932" t="s">
        <v>7</v>
      </c>
      <c r="C4932" s="2">
        <f>HYPERLINK("https://svao.dolgi.msk.ru/account/1760250592/", 1760250592)</f>
        <v>1760250592</v>
      </c>
      <c r="D4932">
        <v>3185.55</v>
      </c>
    </row>
    <row r="4933" spans="1:4" x14ac:dyDescent="0.25">
      <c r="A4933" t="s">
        <v>561</v>
      </c>
      <c r="B4933" t="s">
        <v>141</v>
      </c>
      <c r="C4933" s="2">
        <f>HYPERLINK("https://svao.dolgi.msk.ru/account/1760250613/", 1760250613)</f>
        <v>1760250613</v>
      </c>
      <c r="D4933">
        <v>5458.96</v>
      </c>
    </row>
    <row r="4934" spans="1:4" x14ac:dyDescent="0.25">
      <c r="A4934" t="s">
        <v>561</v>
      </c>
      <c r="B4934" t="s">
        <v>103</v>
      </c>
      <c r="C4934" s="2">
        <f>HYPERLINK("https://svao.dolgi.msk.ru/account/1760250648/", 1760250648)</f>
        <v>1760250648</v>
      </c>
      <c r="D4934">
        <v>2061.11</v>
      </c>
    </row>
    <row r="4935" spans="1:4" x14ac:dyDescent="0.25">
      <c r="A4935" t="s">
        <v>561</v>
      </c>
      <c r="B4935" t="s">
        <v>73</v>
      </c>
      <c r="C4935" s="2">
        <f>HYPERLINK("https://svao.dolgi.msk.ru/account/1760250656/", 1760250656)</f>
        <v>1760250656</v>
      </c>
      <c r="D4935">
        <v>5070.6499999999996</v>
      </c>
    </row>
    <row r="4936" spans="1:4" x14ac:dyDescent="0.25">
      <c r="A4936" t="s">
        <v>561</v>
      </c>
      <c r="B4936" t="s">
        <v>137</v>
      </c>
      <c r="C4936" s="2">
        <f>HYPERLINK("https://svao.dolgi.msk.ru/account/1760250701/", 1760250701)</f>
        <v>1760250701</v>
      </c>
      <c r="D4936">
        <v>6162.54</v>
      </c>
    </row>
    <row r="4937" spans="1:4" x14ac:dyDescent="0.25">
      <c r="A4937" t="s">
        <v>561</v>
      </c>
      <c r="B4937" t="s">
        <v>10</v>
      </c>
      <c r="C4937" s="2">
        <f>HYPERLINK("https://svao.dolgi.msk.ru/account/1760250752/", 1760250752)</f>
        <v>1760250752</v>
      </c>
      <c r="D4937">
        <v>773.38</v>
      </c>
    </row>
    <row r="4938" spans="1:4" x14ac:dyDescent="0.25">
      <c r="A4938" t="s">
        <v>561</v>
      </c>
      <c r="B4938" t="s">
        <v>219</v>
      </c>
      <c r="C4938" s="2">
        <f>HYPERLINK("https://svao.dolgi.msk.ru/account/1760250779/", 1760250779)</f>
        <v>1760250779</v>
      </c>
      <c r="D4938">
        <v>118.59</v>
      </c>
    </row>
    <row r="4939" spans="1:4" x14ac:dyDescent="0.25">
      <c r="A4939" t="s">
        <v>561</v>
      </c>
      <c r="B4939" t="s">
        <v>219</v>
      </c>
      <c r="C4939" s="2">
        <f>HYPERLINK("https://svao.dolgi.msk.ru/account/1760250787/", 1760250787)</f>
        <v>1760250787</v>
      </c>
      <c r="D4939">
        <v>5278.8</v>
      </c>
    </row>
    <row r="4940" spans="1:4" x14ac:dyDescent="0.25">
      <c r="A4940" t="s">
        <v>561</v>
      </c>
      <c r="B4940" t="s">
        <v>11</v>
      </c>
      <c r="C4940" s="2">
        <f>HYPERLINK("https://svao.dolgi.msk.ru/account/1760250795/", 1760250795)</f>
        <v>1760250795</v>
      </c>
      <c r="D4940">
        <v>2749.47</v>
      </c>
    </row>
    <row r="4941" spans="1:4" x14ac:dyDescent="0.25">
      <c r="A4941" t="s">
        <v>561</v>
      </c>
      <c r="B4941" t="s">
        <v>14</v>
      </c>
      <c r="C4941" s="2">
        <f>HYPERLINK("https://svao.dolgi.msk.ru/account/1760250832/", 1760250832)</f>
        <v>1760250832</v>
      </c>
      <c r="D4941">
        <v>4448.71</v>
      </c>
    </row>
    <row r="4942" spans="1:4" x14ac:dyDescent="0.25">
      <c r="A4942" t="s">
        <v>561</v>
      </c>
      <c r="B4942" t="s">
        <v>106</v>
      </c>
      <c r="C4942" s="2">
        <f>HYPERLINK("https://svao.dolgi.msk.ru/account/1760250859/", 1760250859)</f>
        <v>1760250859</v>
      </c>
      <c r="D4942">
        <v>5972.7</v>
      </c>
    </row>
    <row r="4943" spans="1:4" x14ac:dyDescent="0.25">
      <c r="A4943" t="s">
        <v>561</v>
      </c>
      <c r="B4943" t="s">
        <v>108</v>
      </c>
      <c r="C4943" s="2">
        <f>HYPERLINK("https://svao.dolgi.msk.ru/account/1760250883/", 1760250883)</f>
        <v>1760250883</v>
      </c>
      <c r="D4943">
        <v>5594.67</v>
      </c>
    </row>
    <row r="4944" spans="1:4" x14ac:dyDescent="0.25">
      <c r="A4944" t="s">
        <v>561</v>
      </c>
      <c r="B4944" t="s">
        <v>18</v>
      </c>
      <c r="C4944" s="2">
        <f>HYPERLINK("https://svao.dolgi.msk.ru/account/1760250912/", 1760250912)</f>
        <v>1760250912</v>
      </c>
      <c r="D4944">
        <v>4208.43</v>
      </c>
    </row>
    <row r="4945" spans="1:4" x14ac:dyDescent="0.25">
      <c r="A4945" t="s">
        <v>561</v>
      </c>
      <c r="B4945" t="s">
        <v>92</v>
      </c>
      <c r="C4945" s="2">
        <f>HYPERLINK("https://svao.dolgi.msk.ru/account/1760250998/", 1760250998)</f>
        <v>1760250998</v>
      </c>
      <c r="D4945">
        <v>3114.37</v>
      </c>
    </row>
    <row r="4946" spans="1:4" x14ac:dyDescent="0.25">
      <c r="A4946" t="s">
        <v>561</v>
      </c>
      <c r="B4946" t="s">
        <v>21</v>
      </c>
      <c r="C4946" s="2">
        <f>HYPERLINK("https://svao.dolgi.msk.ru/account/1760251077/", 1760251077)</f>
        <v>1760251077</v>
      </c>
      <c r="D4946">
        <v>4039.18</v>
      </c>
    </row>
    <row r="4947" spans="1:4" x14ac:dyDescent="0.25">
      <c r="A4947" t="s">
        <v>561</v>
      </c>
      <c r="B4947" t="s">
        <v>114</v>
      </c>
      <c r="C4947" s="2">
        <f>HYPERLINK("https://svao.dolgi.msk.ru/account/1760251093/", 1760251093)</f>
        <v>1760251093</v>
      </c>
      <c r="D4947">
        <v>16343.84</v>
      </c>
    </row>
    <row r="4948" spans="1:4" x14ac:dyDescent="0.25">
      <c r="A4948" t="s">
        <v>562</v>
      </c>
      <c r="B4948" t="s">
        <v>314</v>
      </c>
      <c r="C4948" s="2">
        <f>HYPERLINK("https://svao.dolgi.msk.ru/account/1760251181/", 1760251181)</f>
        <v>1760251181</v>
      </c>
      <c r="D4948">
        <v>5867.57</v>
      </c>
    </row>
    <row r="4949" spans="1:4" x14ac:dyDescent="0.25">
      <c r="A4949" t="s">
        <v>562</v>
      </c>
      <c r="B4949" t="s">
        <v>242</v>
      </c>
      <c r="C4949" s="2">
        <f>HYPERLINK("https://svao.dolgi.msk.ru/account/1760251202/", 1760251202)</f>
        <v>1760251202</v>
      </c>
      <c r="D4949">
        <v>237.16</v>
      </c>
    </row>
    <row r="4950" spans="1:4" x14ac:dyDescent="0.25">
      <c r="A4950" t="s">
        <v>562</v>
      </c>
      <c r="B4950" t="s">
        <v>131</v>
      </c>
      <c r="C4950" s="2">
        <f>HYPERLINK("https://svao.dolgi.msk.ru/account/1760251237/", 1760251237)</f>
        <v>1760251237</v>
      </c>
      <c r="D4950">
        <v>7982.14</v>
      </c>
    </row>
    <row r="4951" spans="1:4" x14ac:dyDescent="0.25">
      <c r="A4951" t="s">
        <v>562</v>
      </c>
      <c r="B4951" t="s">
        <v>125</v>
      </c>
      <c r="C4951" s="2">
        <f>HYPERLINK("https://svao.dolgi.msk.ru/account/1760251245/", 1760251245)</f>
        <v>1760251245</v>
      </c>
      <c r="D4951">
        <v>4675.09</v>
      </c>
    </row>
    <row r="4952" spans="1:4" x14ac:dyDescent="0.25">
      <c r="A4952" t="s">
        <v>562</v>
      </c>
      <c r="B4952" t="s">
        <v>80</v>
      </c>
      <c r="C4952" s="2">
        <f>HYPERLINK("https://svao.dolgi.msk.ru/account/1760251261/", 1760251261)</f>
        <v>1760251261</v>
      </c>
      <c r="D4952">
        <v>7807.01</v>
      </c>
    </row>
    <row r="4953" spans="1:4" x14ac:dyDescent="0.25">
      <c r="A4953" t="s">
        <v>562</v>
      </c>
      <c r="B4953" t="s">
        <v>119</v>
      </c>
      <c r="C4953" s="2">
        <f>HYPERLINK("https://svao.dolgi.msk.ru/account/1760251296/", 1760251296)</f>
        <v>1760251296</v>
      </c>
      <c r="D4953">
        <v>5870.6</v>
      </c>
    </row>
    <row r="4954" spans="1:4" x14ac:dyDescent="0.25">
      <c r="A4954" t="s">
        <v>562</v>
      </c>
      <c r="B4954" t="s">
        <v>25</v>
      </c>
      <c r="C4954" s="2">
        <f>HYPERLINK("https://svao.dolgi.msk.ru/account/1760251333/", 1760251333)</f>
        <v>1760251333</v>
      </c>
      <c r="D4954">
        <v>6343.43</v>
      </c>
    </row>
    <row r="4955" spans="1:4" x14ac:dyDescent="0.25">
      <c r="A4955" t="s">
        <v>562</v>
      </c>
      <c r="B4955" t="s">
        <v>83</v>
      </c>
      <c r="C4955" s="2">
        <f>HYPERLINK("https://svao.dolgi.msk.ru/account/1760251341/", 1760251341)</f>
        <v>1760251341</v>
      </c>
      <c r="D4955">
        <v>5868.79</v>
      </c>
    </row>
    <row r="4956" spans="1:4" x14ac:dyDescent="0.25">
      <c r="A4956" t="s">
        <v>562</v>
      </c>
      <c r="B4956" t="s">
        <v>133</v>
      </c>
      <c r="C4956" s="2">
        <f>HYPERLINK("https://svao.dolgi.msk.ru/account/1760251384/", 1760251384)</f>
        <v>1760251384</v>
      </c>
      <c r="D4956">
        <v>6217.01</v>
      </c>
    </row>
    <row r="4957" spans="1:4" x14ac:dyDescent="0.25">
      <c r="A4957" t="s">
        <v>562</v>
      </c>
      <c r="B4957" t="s">
        <v>96</v>
      </c>
      <c r="C4957" s="2">
        <f>HYPERLINK("https://svao.dolgi.msk.ru/account/1760251392/", 1760251392)</f>
        <v>1760251392</v>
      </c>
      <c r="D4957">
        <v>691.24</v>
      </c>
    </row>
    <row r="4958" spans="1:4" x14ac:dyDescent="0.25">
      <c r="A4958" t="s">
        <v>563</v>
      </c>
      <c r="B4958" t="s">
        <v>564</v>
      </c>
      <c r="C4958" s="2">
        <f>HYPERLINK("https://svao.dolgi.msk.ru/account/1760250031/", 1760250031)</f>
        <v>1760250031</v>
      </c>
      <c r="D4958">
        <v>6328.97</v>
      </c>
    </row>
    <row r="4959" spans="1:4" x14ac:dyDescent="0.25">
      <c r="A4959" t="s">
        <v>563</v>
      </c>
      <c r="B4959" t="s">
        <v>565</v>
      </c>
      <c r="C4959" s="2">
        <f>HYPERLINK("https://svao.dolgi.msk.ru/account/1760250082/", 1760250082)</f>
        <v>1760250082</v>
      </c>
      <c r="D4959">
        <v>7954.48</v>
      </c>
    </row>
    <row r="4960" spans="1:4" x14ac:dyDescent="0.25">
      <c r="A4960" t="s">
        <v>563</v>
      </c>
      <c r="B4960" t="s">
        <v>228</v>
      </c>
      <c r="C4960" s="2">
        <f>HYPERLINK("https://svao.dolgi.msk.ru/account/1760250103/", 1760250103)</f>
        <v>1760250103</v>
      </c>
      <c r="D4960">
        <v>113.48</v>
      </c>
    </row>
    <row r="4961" spans="1:4" x14ac:dyDescent="0.25">
      <c r="A4961" t="s">
        <v>563</v>
      </c>
      <c r="B4961" t="s">
        <v>566</v>
      </c>
      <c r="C4961" s="2">
        <f>HYPERLINK("https://svao.dolgi.msk.ru/account/1760250154/", 1760250154)</f>
        <v>1760250154</v>
      </c>
      <c r="D4961">
        <v>735.33</v>
      </c>
    </row>
    <row r="4962" spans="1:4" x14ac:dyDescent="0.25">
      <c r="A4962" t="s">
        <v>563</v>
      </c>
      <c r="B4962" t="s">
        <v>229</v>
      </c>
      <c r="C4962" s="2">
        <f>HYPERLINK("https://svao.dolgi.msk.ru/account/1760250197/", 1760250197)</f>
        <v>1760250197</v>
      </c>
      <c r="D4962">
        <v>114.76</v>
      </c>
    </row>
    <row r="4963" spans="1:4" x14ac:dyDescent="0.25">
      <c r="A4963" t="s">
        <v>563</v>
      </c>
      <c r="B4963" t="s">
        <v>567</v>
      </c>
      <c r="C4963" s="2">
        <f>HYPERLINK("https://svao.dolgi.msk.ru/account/1760250285/", 1760250285)</f>
        <v>1760250285</v>
      </c>
      <c r="D4963">
        <v>41047.5</v>
      </c>
    </row>
    <row r="4964" spans="1:4" x14ac:dyDescent="0.25">
      <c r="A4964" t="s">
        <v>563</v>
      </c>
      <c r="B4964" t="s">
        <v>568</v>
      </c>
      <c r="C4964" s="2">
        <f>HYPERLINK("https://svao.dolgi.msk.ru/account/1760250322/", 1760250322)</f>
        <v>1760250322</v>
      </c>
      <c r="D4964">
        <v>6242.4</v>
      </c>
    </row>
    <row r="4965" spans="1:4" x14ac:dyDescent="0.25">
      <c r="A4965" t="s">
        <v>563</v>
      </c>
      <c r="B4965" t="s">
        <v>231</v>
      </c>
      <c r="C4965" s="2">
        <f>HYPERLINK("https://svao.dolgi.msk.ru/account/1760250349/", 1760250349)</f>
        <v>1760250349</v>
      </c>
      <c r="D4965">
        <v>80115.33</v>
      </c>
    </row>
    <row r="4966" spans="1:4" x14ac:dyDescent="0.25">
      <c r="A4966" t="s">
        <v>563</v>
      </c>
      <c r="B4966" t="s">
        <v>232</v>
      </c>
      <c r="C4966" s="2">
        <f>HYPERLINK("https://svao.dolgi.msk.ru/account/1760250373/", 1760250373)</f>
        <v>1760250373</v>
      </c>
      <c r="D4966">
        <v>4287.68</v>
      </c>
    </row>
    <row r="4967" spans="1:4" x14ac:dyDescent="0.25">
      <c r="A4967" t="s">
        <v>563</v>
      </c>
      <c r="B4967" t="s">
        <v>569</v>
      </c>
      <c r="C4967" s="2">
        <f>HYPERLINK("https://svao.dolgi.msk.ru/account/1760250381/", 1760250381)</f>
        <v>1760250381</v>
      </c>
      <c r="D4967">
        <v>3084.35</v>
      </c>
    </row>
    <row r="4968" spans="1:4" x14ac:dyDescent="0.25">
      <c r="A4968" t="s">
        <v>563</v>
      </c>
      <c r="B4968" t="s">
        <v>570</v>
      </c>
      <c r="C4968" s="2">
        <f>HYPERLINK("https://svao.dolgi.msk.ru/account/1760250402/", 1760250402)</f>
        <v>1760250402</v>
      </c>
      <c r="D4968">
        <v>6916.73</v>
      </c>
    </row>
    <row r="4969" spans="1:4" x14ac:dyDescent="0.25">
      <c r="A4969" t="s">
        <v>563</v>
      </c>
      <c r="B4969" t="s">
        <v>233</v>
      </c>
      <c r="C4969" s="2">
        <f>HYPERLINK("https://svao.dolgi.msk.ru/account/1760250445/", 1760250445)</f>
        <v>1760250445</v>
      </c>
      <c r="D4969">
        <v>3756.65</v>
      </c>
    </row>
    <row r="4970" spans="1:4" x14ac:dyDescent="0.25">
      <c r="A4970" t="s">
        <v>563</v>
      </c>
      <c r="B4970" t="s">
        <v>233</v>
      </c>
      <c r="C4970" s="2">
        <f>HYPERLINK("https://svao.dolgi.msk.ru/account/1760250453/", 1760250453)</f>
        <v>1760250453</v>
      </c>
      <c r="D4970">
        <v>1108.3499999999999</v>
      </c>
    </row>
    <row r="4971" spans="1:4" x14ac:dyDescent="0.25">
      <c r="A4971" t="s">
        <v>563</v>
      </c>
      <c r="B4971" t="s">
        <v>571</v>
      </c>
      <c r="C4971" s="2">
        <f>HYPERLINK("https://svao.dolgi.msk.ru/account/1760250496/", 1760250496)</f>
        <v>1760250496</v>
      </c>
      <c r="D4971">
        <v>2610.6999999999998</v>
      </c>
    </row>
    <row r="4972" spans="1:4" x14ac:dyDescent="0.25">
      <c r="A4972" t="s">
        <v>563</v>
      </c>
      <c r="B4972" t="s">
        <v>235</v>
      </c>
      <c r="C4972" s="2">
        <f>HYPERLINK("https://svao.dolgi.msk.ru/account/1760250533/", 1760250533)</f>
        <v>1760250533</v>
      </c>
      <c r="D4972">
        <v>3211.45</v>
      </c>
    </row>
    <row r="4973" spans="1:4" x14ac:dyDescent="0.25">
      <c r="A4973" t="s">
        <v>572</v>
      </c>
      <c r="B4973" t="s">
        <v>121</v>
      </c>
      <c r="C4973" s="2">
        <f>HYPERLINK("https://svao.dolgi.msk.ru/account/1760251421/", 1760251421)</f>
        <v>1760251421</v>
      </c>
      <c r="D4973">
        <v>5947.22</v>
      </c>
    </row>
    <row r="4974" spans="1:4" x14ac:dyDescent="0.25">
      <c r="A4974" t="s">
        <v>572</v>
      </c>
      <c r="B4974" t="s">
        <v>28</v>
      </c>
      <c r="C4974" s="2">
        <f>HYPERLINK("https://svao.dolgi.msk.ru/account/1760251464/", 1760251464)</f>
        <v>1760251464</v>
      </c>
      <c r="D4974">
        <v>6868.09</v>
      </c>
    </row>
    <row r="4975" spans="1:4" x14ac:dyDescent="0.25">
      <c r="A4975" t="s">
        <v>572</v>
      </c>
      <c r="B4975" t="s">
        <v>29</v>
      </c>
      <c r="C4975" s="2">
        <f>HYPERLINK("https://svao.dolgi.msk.ru/account/1760251472/", 1760251472)</f>
        <v>1760251472</v>
      </c>
      <c r="D4975">
        <v>4206.79</v>
      </c>
    </row>
    <row r="4976" spans="1:4" x14ac:dyDescent="0.25">
      <c r="A4976" t="s">
        <v>572</v>
      </c>
      <c r="B4976" t="s">
        <v>29</v>
      </c>
      <c r="C4976" s="2">
        <f>HYPERLINK("https://svao.dolgi.msk.ru/account/1760270809/", 1760270809)</f>
        <v>1760270809</v>
      </c>
      <c r="D4976">
        <v>1778.4</v>
      </c>
    </row>
    <row r="4977" spans="1:4" x14ac:dyDescent="0.25">
      <c r="A4977" t="s">
        <v>572</v>
      </c>
      <c r="B4977" t="s">
        <v>244</v>
      </c>
      <c r="C4977" s="2">
        <f>HYPERLINK("https://svao.dolgi.msk.ru/account/1760251499/", 1760251499)</f>
        <v>1760251499</v>
      </c>
      <c r="D4977">
        <v>12727.71</v>
      </c>
    </row>
    <row r="4978" spans="1:4" x14ac:dyDescent="0.25">
      <c r="A4978" t="s">
        <v>572</v>
      </c>
      <c r="B4978" t="s">
        <v>129</v>
      </c>
      <c r="C4978" s="2">
        <f>HYPERLINK("https://svao.dolgi.msk.ru/account/1760251501/", 1760251501)</f>
        <v>1760251501</v>
      </c>
      <c r="D4978">
        <v>10780.52</v>
      </c>
    </row>
    <row r="4979" spans="1:4" x14ac:dyDescent="0.25">
      <c r="A4979" t="s">
        <v>572</v>
      </c>
      <c r="B4979" t="s">
        <v>31</v>
      </c>
      <c r="C4979" s="2">
        <f>HYPERLINK("https://svao.dolgi.msk.ru/account/1760251552/", 1760251552)</f>
        <v>1760251552</v>
      </c>
      <c r="D4979">
        <v>10112.06</v>
      </c>
    </row>
    <row r="4980" spans="1:4" x14ac:dyDescent="0.25">
      <c r="A4980" t="s">
        <v>572</v>
      </c>
      <c r="B4980" t="s">
        <v>98</v>
      </c>
      <c r="C4980" s="2">
        <f>HYPERLINK("https://svao.dolgi.msk.ru/account/1760251579/", 1760251579)</f>
        <v>1760251579</v>
      </c>
      <c r="D4980">
        <v>5000.0200000000004</v>
      </c>
    </row>
    <row r="4981" spans="1:4" x14ac:dyDescent="0.25">
      <c r="A4981" t="s">
        <v>572</v>
      </c>
      <c r="B4981" t="s">
        <v>34</v>
      </c>
      <c r="C4981" s="2">
        <f>HYPERLINK("https://svao.dolgi.msk.ru/account/1760251632/", 1760251632)</f>
        <v>1760251632</v>
      </c>
      <c r="D4981">
        <v>5711.1</v>
      </c>
    </row>
    <row r="4982" spans="1:4" x14ac:dyDescent="0.25">
      <c r="A4982" t="s">
        <v>572</v>
      </c>
      <c r="B4982" t="s">
        <v>35</v>
      </c>
      <c r="C4982" s="2">
        <f>HYPERLINK("https://svao.dolgi.msk.ru/account/1760251659/", 1760251659)</f>
        <v>1760251659</v>
      </c>
      <c r="D4982">
        <v>12024.19</v>
      </c>
    </row>
    <row r="4983" spans="1:4" x14ac:dyDescent="0.25">
      <c r="A4983" t="s">
        <v>572</v>
      </c>
      <c r="B4983" t="s">
        <v>333</v>
      </c>
      <c r="C4983" s="2">
        <f>HYPERLINK("https://svao.dolgi.msk.ru/account/1760251691/", 1760251691)</f>
        <v>1760251691</v>
      </c>
      <c r="D4983">
        <v>11067.2</v>
      </c>
    </row>
    <row r="4984" spans="1:4" x14ac:dyDescent="0.25">
      <c r="A4984" t="s">
        <v>573</v>
      </c>
      <c r="B4984" t="s">
        <v>37</v>
      </c>
      <c r="C4984" s="2">
        <f>HYPERLINK("https://svao.dolgi.msk.ru/account/1760251763/", 1760251763)</f>
        <v>1760251763</v>
      </c>
      <c r="D4984">
        <v>25605.78</v>
      </c>
    </row>
    <row r="4985" spans="1:4" x14ac:dyDescent="0.25">
      <c r="A4985" t="s">
        <v>573</v>
      </c>
      <c r="B4985" t="s">
        <v>246</v>
      </c>
      <c r="C4985" s="2">
        <f>HYPERLINK("https://svao.dolgi.msk.ru/account/1760251819/", 1760251819)</f>
        <v>1760251819</v>
      </c>
      <c r="D4985">
        <v>5740.77</v>
      </c>
    </row>
    <row r="4986" spans="1:4" x14ac:dyDescent="0.25">
      <c r="A4986" t="s">
        <v>573</v>
      </c>
      <c r="B4986" t="s">
        <v>44</v>
      </c>
      <c r="C4986" s="2">
        <f>HYPERLINK("https://svao.dolgi.msk.ru/account/1760251878/", 1760251878)</f>
        <v>1760251878</v>
      </c>
      <c r="D4986">
        <v>8105.37</v>
      </c>
    </row>
    <row r="4987" spans="1:4" x14ac:dyDescent="0.25">
      <c r="A4987" t="s">
        <v>573</v>
      </c>
      <c r="B4987" t="s">
        <v>143</v>
      </c>
      <c r="C4987" s="2">
        <f>HYPERLINK("https://svao.dolgi.msk.ru/account/1760251931/", 1760251931)</f>
        <v>1760251931</v>
      </c>
      <c r="D4987">
        <v>16552.36</v>
      </c>
    </row>
    <row r="4988" spans="1:4" x14ac:dyDescent="0.25">
      <c r="A4988" t="s">
        <v>573</v>
      </c>
      <c r="B4988" t="s">
        <v>144</v>
      </c>
      <c r="C4988" s="2">
        <f>HYPERLINK("https://svao.dolgi.msk.ru/account/1760251966/", 1760251966)</f>
        <v>1760251966</v>
      </c>
      <c r="D4988">
        <v>5069.32</v>
      </c>
    </row>
    <row r="4989" spans="1:4" x14ac:dyDescent="0.25">
      <c r="A4989" t="s">
        <v>573</v>
      </c>
      <c r="B4989" t="s">
        <v>249</v>
      </c>
      <c r="C4989" s="2">
        <f>HYPERLINK("https://svao.dolgi.msk.ru/account/1760252045/", 1760252045)</f>
        <v>1760252045</v>
      </c>
      <c r="D4989">
        <v>2122.81</v>
      </c>
    </row>
    <row r="4990" spans="1:4" x14ac:dyDescent="0.25">
      <c r="A4990" t="s">
        <v>573</v>
      </c>
      <c r="B4990" t="s">
        <v>339</v>
      </c>
      <c r="C4990" s="2">
        <f>HYPERLINK("https://svao.dolgi.msk.ru/account/1760252053/", 1760252053)</f>
        <v>1760252053</v>
      </c>
      <c r="D4990">
        <v>7127.81</v>
      </c>
    </row>
    <row r="4991" spans="1:4" x14ac:dyDescent="0.25">
      <c r="A4991" t="s">
        <v>573</v>
      </c>
      <c r="B4991" t="s">
        <v>47</v>
      </c>
      <c r="C4991" s="2">
        <f>HYPERLINK("https://svao.dolgi.msk.ru/account/1760252061/", 1760252061)</f>
        <v>1760252061</v>
      </c>
      <c r="D4991">
        <v>7221.37</v>
      </c>
    </row>
    <row r="4992" spans="1:4" x14ac:dyDescent="0.25">
      <c r="A4992" t="s">
        <v>573</v>
      </c>
      <c r="B4992" t="s">
        <v>48</v>
      </c>
      <c r="C4992" s="2">
        <f>HYPERLINK("https://svao.dolgi.msk.ru/account/1760252109/", 1760252109)</f>
        <v>1760252109</v>
      </c>
      <c r="D4992">
        <v>7920.05</v>
      </c>
    </row>
    <row r="4993" spans="1:4" x14ac:dyDescent="0.25">
      <c r="A4993" t="s">
        <v>574</v>
      </c>
      <c r="B4993" t="s">
        <v>52</v>
      </c>
      <c r="C4993" s="2">
        <f>HYPERLINK("https://svao.dolgi.msk.ru/account/1760252264/", 1760252264)</f>
        <v>1760252264</v>
      </c>
      <c r="D4993">
        <v>7738.03</v>
      </c>
    </row>
    <row r="4994" spans="1:4" x14ac:dyDescent="0.25">
      <c r="A4994" t="s">
        <v>574</v>
      </c>
      <c r="B4994" t="s">
        <v>149</v>
      </c>
      <c r="C4994" s="2">
        <f>HYPERLINK("https://svao.dolgi.msk.ru/account/1760252344/", 1760252344)</f>
        <v>1760252344</v>
      </c>
      <c r="D4994">
        <v>38396.29</v>
      </c>
    </row>
    <row r="4995" spans="1:4" x14ac:dyDescent="0.25">
      <c r="A4995" t="s">
        <v>574</v>
      </c>
      <c r="B4995" t="s">
        <v>150</v>
      </c>
      <c r="C4995" s="2">
        <f>HYPERLINK("https://svao.dolgi.msk.ru/account/1760252379/", 1760252379)</f>
        <v>1760252379</v>
      </c>
      <c r="D4995">
        <v>6299.36</v>
      </c>
    </row>
    <row r="4996" spans="1:4" x14ac:dyDescent="0.25">
      <c r="A4996" t="s">
        <v>574</v>
      </c>
      <c r="B4996" t="s">
        <v>308</v>
      </c>
      <c r="C4996" s="2">
        <f>HYPERLINK("https://svao.dolgi.msk.ru/account/1760252483/", 1760252483)</f>
        <v>1760252483</v>
      </c>
      <c r="D4996">
        <v>45478.21</v>
      </c>
    </row>
    <row r="4997" spans="1:4" x14ac:dyDescent="0.25">
      <c r="A4997" t="s">
        <v>574</v>
      </c>
      <c r="B4997" t="s">
        <v>309</v>
      </c>
      <c r="C4997" s="2">
        <f>HYPERLINK("https://svao.dolgi.msk.ru/account/1760252491/", 1760252491)</f>
        <v>1760252491</v>
      </c>
      <c r="D4997">
        <v>11119.39</v>
      </c>
    </row>
    <row r="4998" spans="1:4" x14ac:dyDescent="0.25">
      <c r="A4998" t="s">
        <v>574</v>
      </c>
      <c r="B4998" t="s">
        <v>298</v>
      </c>
      <c r="C4998" s="2">
        <f>HYPERLINK("https://svao.dolgi.msk.ru/account/1760252563/", 1760252563)</f>
        <v>1760252563</v>
      </c>
      <c r="D4998">
        <v>5704.93</v>
      </c>
    </row>
    <row r="4999" spans="1:4" x14ac:dyDescent="0.25">
      <c r="A4999" t="s">
        <v>574</v>
      </c>
      <c r="B4999" t="s">
        <v>327</v>
      </c>
      <c r="C4999" s="2">
        <f>HYPERLINK("https://svao.dolgi.msk.ru/account/1760252598/", 1760252598)</f>
        <v>1760252598</v>
      </c>
      <c r="D4999">
        <v>914.34</v>
      </c>
    </row>
    <row r="5000" spans="1:4" x14ac:dyDescent="0.25">
      <c r="A5000" t="s">
        <v>574</v>
      </c>
      <c r="B5000" t="s">
        <v>56</v>
      </c>
      <c r="C5000" s="2">
        <f>HYPERLINK("https://svao.dolgi.msk.ru/account/1760252619/", 1760252619)</f>
        <v>1760252619</v>
      </c>
      <c r="D5000">
        <v>7530.29</v>
      </c>
    </row>
    <row r="5001" spans="1:4" x14ac:dyDescent="0.25">
      <c r="A5001" t="s">
        <v>575</v>
      </c>
      <c r="B5001" t="s">
        <v>328</v>
      </c>
      <c r="C5001" s="2">
        <f>HYPERLINK("https://svao.dolgi.msk.ru/account/1760252635/", 1760252635)</f>
        <v>1760252635</v>
      </c>
      <c r="D5001">
        <v>166482.42000000001</v>
      </c>
    </row>
    <row r="5002" spans="1:4" x14ac:dyDescent="0.25">
      <c r="A5002" t="s">
        <v>575</v>
      </c>
      <c r="B5002" t="s">
        <v>335</v>
      </c>
      <c r="C5002" s="2">
        <f>HYPERLINK("https://svao.dolgi.msk.ru/account/1760252651/", 1760252651)</f>
        <v>1760252651</v>
      </c>
      <c r="D5002">
        <v>4097.0600000000004</v>
      </c>
    </row>
    <row r="5003" spans="1:4" x14ac:dyDescent="0.25">
      <c r="A5003" t="s">
        <v>575</v>
      </c>
      <c r="B5003" t="s">
        <v>429</v>
      </c>
      <c r="C5003" s="2">
        <f>HYPERLINK("https://svao.dolgi.msk.ru/account/1760252707/", 1760252707)</f>
        <v>1760252707</v>
      </c>
      <c r="D5003">
        <v>8829.93</v>
      </c>
    </row>
    <row r="5004" spans="1:4" x14ac:dyDescent="0.25">
      <c r="A5004" t="s">
        <v>575</v>
      </c>
      <c r="B5004" t="s">
        <v>340</v>
      </c>
      <c r="C5004" s="2">
        <f>HYPERLINK("https://svao.dolgi.msk.ru/account/1760252715/", 1760252715)</f>
        <v>1760252715</v>
      </c>
      <c r="D5004">
        <v>9327.15</v>
      </c>
    </row>
    <row r="5005" spans="1:4" x14ac:dyDescent="0.25">
      <c r="A5005" t="s">
        <v>575</v>
      </c>
      <c r="B5005" t="s">
        <v>58</v>
      </c>
      <c r="C5005" s="2">
        <f>HYPERLINK("https://svao.dolgi.msk.ru/account/1760252766/", 1760252766)</f>
        <v>1760252766</v>
      </c>
      <c r="D5005">
        <v>7334</v>
      </c>
    </row>
    <row r="5006" spans="1:4" x14ac:dyDescent="0.25">
      <c r="A5006" t="s">
        <v>575</v>
      </c>
      <c r="B5006" t="s">
        <v>59</v>
      </c>
      <c r="C5006" s="2">
        <f>HYPERLINK("https://svao.dolgi.msk.ru/account/1760252811/", 1760252811)</f>
        <v>1760252811</v>
      </c>
      <c r="D5006">
        <v>21356.91</v>
      </c>
    </row>
    <row r="5007" spans="1:4" x14ac:dyDescent="0.25">
      <c r="A5007" t="s">
        <v>575</v>
      </c>
      <c r="B5007" t="s">
        <v>256</v>
      </c>
      <c r="C5007" s="2">
        <f>HYPERLINK("https://svao.dolgi.msk.ru/account/1760252846/", 1760252846)</f>
        <v>1760252846</v>
      </c>
      <c r="D5007">
        <v>29732.87</v>
      </c>
    </row>
    <row r="5008" spans="1:4" x14ac:dyDescent="0.25">
      <c r="A5008" t="s">
        <v>575</v>
      </c>
      <c r="B5008" t="s">
        <v>342</v>
      </c>
      <c r="C5008" s="2">
        <f>HYPERLINK("https://svao.dolgi.msk.ru/account/1760252897/", 1760252897)</f>
        <v>1760252897</v>
      </c>
      <c r="D5008">
        <v>3055.03</v>
      </c>
    </row>
    <row r="5009" spans="1:4" x14ac:dyDescent="0.25">
      <c r="A5009" t="s">
        <v>575</v>
      </c>
      <c r="B5009" t="s">
        <v>62</v>
      </c>
      <c r="C5009" s="2">
        <f>HYPERLINK("https://svao.dolgi.msk.ru/account/1760252942/", 1760252942)</f>
        <v>1760252942</v>
      </c>
      <c r="D5009">
        <v>4808</v>
      </c>
    </row>
    <row r="5010" spans="1:4" x14ac:dyDescent="0.25">
      <c r="A5010" t="s">
        <v>575</v>
      </c>
      <c r="B5010" t="s">
        <v>257</v>
      </c>
      <c r="C5010" s="2">
        <f>HYPERLINK("https://svao.dolgi.msk.ru/account/1760252969/", 1760252969)</f>
        <v>1760252969</v>
      </c>
      <c r="D5010">
        <v>8344.36</v>
      </c>
    </row>
    <row r="5011" spans="1:4" x14ac:dyDescent="0.25">
      <c r="A5011" t="s">
        <v>575</v>
      </c>
      <c r="B5011" t="s">
        <v>344</v>
      </c>
      <c r="C5011" s="2">
        <f>HYPERLINK("https://svao.dolgi.msk.ru/account/1760252977/", 1760252977)</f>
        <v>1760252977</v>
      </c>
      <c r="D5011">
        <v>8790.0400000000009</v>
      </c>
    </row>
    <row r="5012" spans="1:4" x14ac:dyDescent="0.25">
      <c r="A5012" t="s">
        <v>576</v>
      </c>
      <c r="B5012" t="s">
        <v>15</v>
      </c>
      <c r="C5012" s="2">
        <f>HYPERLINK("https://svao.dolgi.msk.ru/account/1760238112/", 1760238112)</f>
        <v>1760238112</v>
      </c>
      <c r="D5012">
        <v>6027.57</v>
      </c>
    </row>
    <row r="5013" spans="1:4" x14ac:dyDescent="0.25">
      <c r="A5013" t="s">
        <v>576</v>
      </c>
      <c r="B5013" t="s">
        <v>15</v>
      </c>
      <c r="C5013" s="2">
        <f>HYPERLINK("https://svao.dolgi.msk.ru/account/1760238139/", 1760238139)</f>
        <v>1760238139</v>
      </c>
      <c r="D5013">
        <v>10342.709999999999</v>
      </c>
    </row>
    <row r="5014" spans="1:4" x14ac:dyDescent="0.25">
      <c r="A5014" t="s">
        <v>576</v>
      </c>
      <c r="B5014" t="s">
        <v>15</v>
      </c>
      <c r="C5014" s="2">
        <f>HYPERLINK("https://svao.dolgi.msk.ru/account/1760238147/", 1760238147)</f>
        <v>1760238147</v>
      </c>
      <c r="D5014">
        <v>2542.83</v>
      </c>
    </row>
    <row r="5015" spans="1:4" x14ac:dyDescent="0.25">
      <c r="A5015" t="s">
        <v>576</v>
      </c>
      <c r="B5015" t="s">
        <v>16</v>
      </c>
      <c r="C5015" s="2">
        <f>HYPERLINK("https://svao.dolgi.msk.ru/account/1760238163/", 1760238163)</f>
        <v>1760238163</v>
      </c>
      <c r="D5015">
        <v>1588.68</v>
      </c>
    </row>
    <row r="5016" spans="1:4" x14ac:dyDescent="0.25">
      <c r="A5016" t="s">
        <v>576</v>
      </c>
      <c r="B5016" t="s">
        <v>18</v>
      </c>
      <c r="C5016" s="2">
        <f>HYPERLINK("https://svao.dolgi.msk.ru/account/1760238227/", 1760238227)</f>
        <v>1760238227</v>
      </c>
      <c r="D5016">
        <v>773.82</v>
      </c>
    </row>
    <row r="5017" spans="1:4" x14ac:dyDescent="0.25">
      <c r="A5017" t="s">
        <v>576</v>
      </c>
      <c r="B5017" t="s">
        <v>19</v>
      </c>
      <c r="C5017" s="2">
        <f>HYPERLINK("https://svao.dolgi.msk.ru/account/1760238235/", 1760238235)</f>
        <v>1760238235</v>
      </c>
      <c r="D5017">
        <v>27760.77</v>
      </c>
    </row>
    <row r="5018" spans="1:4" x14ac:dyDescent="0.25">
      <c r="A5018" t="s">
        <v>576</v>
      </c>
      <c r="B5018" t="s">
        <v>109</v>
      </c>
      <c r="C5018" s="2">
        <f>HYPERLINK("https://svao.dolgi.msk.ru/account/1760238243/", 1760238243)</f>
        <v>1760238243</v>
      </c>
      <c r="D5018">
        <v>6316.13</v>
      </c>
    </row>
    <row r="5019" spans="1:4" x14ac:dyDescent="0.25">
      <c r="A5019" t="s">
        <v>576</v>
      </c>
      <c r="B5019" t="s">
        <v>92</v>
      </c>
      <c r="C5019" s="2">
        <f>HYPERLINK("https://svao.dolgi.msk.ru/account/1760238294/", 1760238294)</f>
        <v>1760238294</v>
      </c>
      <c r="D5019">
        <v>5604.1</v>
      </c>
    </row>
    <row r="5020" spans="1:4" x14ac:dyDescent="0.25">
      <c r="A5020" t="s">
        <v>576</v>
      </c>
      <c r="B5020" t="s">
        <v>111</v>
      </c>
      <c r="C5020" s="2">
        <f>HYPERLINK("https://svao.dolgi.msk.ru/account/1760238331/", 1760238331)</f>
        <v>1760238331</v>
      </c>
      <c r="D5020">
        <v>3912.03</v>
      </c>
    </row>
    <row r="5021" spans="1:4" x14ac:dyDescent="0.25">
      <c r="A5021" t="s">
        <v>576</v>
      </c>
      <c r="B5021" t="s">
        <v>23</v>
      </c>
      <c r="C5021" s="2">
        <f>HYPERLINK("https://svao.dolgi.msk.ru/account/1760238454/", 1760238454)</f>
        <v>1760238454</v>
      </c>
      <c r="D5021">
        <v>7200.15</v>
      </c>
    </row>
    <row r="5022" spans="1:4" x14ac:dyDescent="0.25">
      <c r="A5022" t="s">
        <v>576</v>
      </c>
      <c r="B5022" t="s">
        <v>124</v>
      </c>
      <c r="C5022" s="2">
        <f>HYPERLINK("https://svao.dolgi.msk.ru/account/1760238497/", 1760238497)</f>
        <v>1760238497</v>
      </c>
      <c r="D5022">
        <v>621.33000000000004</v>
      </c>
    </row>
    <row r="5023" spans="1:4" x14ac:dyDescent="0.25">
      <c r="A5023" t="s">
        <v>576</v>
      </c>
      <c r="B5023" t="s">
        <v>117</v>
      </c>
      <c r="C5023" s="2">
        <f>HYPERLINK("https://svao.dolgi.msk.ru/account/1760238534/", 1760238534)</f>
        <v>1760238534</v>
      </c>
      <c r="D5023">
        <v>423.86</v>
      </c>
    </row>
    <row r="5024" spans="1:4" x14ac:dyDescent="0.25">
      <c r="A5024" t="s">
        <v>576</v>
      </c>
      <c r="B5024" t="s">
        <v>242</v>
      </c>
      <c r="C5024" s="2">
        <f>HYPERLINK("https://svao.dolgi.msk.ru/account/1760238593/", 1760238593)</f>
        <v>1760238593</v>
      </c>
      <c r="D5024">
        <v>4550.04</v>
      </c>
    </row>
    <row r="5025" spans="1:4" x14ac:dyDescent="0.25">
      <c r="A5025" t="s">
        <v>576</v>
      </c>
      <c r="B5025" t="s">
        <v>80</v>
      </c>
      <c r="C5025" s="2">
        <f>HYPERLINK("https://svao.dolgi.msk.ru/account/1760238673/", 1760238673)</f>
        <v>1760238673</v>
      </c>
      <c r="D5025">
        <v>10348.219999999999</v>
      </c>
    </row>
    <row r="5026" spans="1:4" x14ac:dyDescent="0.25">
      <c r="A5026" t="s">
        <v>576</v>
      </c>
      <c r="B5026" t="s">
        <v>127</v>
      </c>
      <c r="C5026" s="2">
        <f>HYPERLINK("https://svao.dolgi.msk.ru/account/1760238702/", 1760238702)</f>
        <v>1760238702</v>
      </c>
      <c r="D5026">
        <v>6496.53</v>
      </c>
    </row>
    <row r="5027" spans="1:4" x14ac:dyDescent="0.25">
      <c r="A5027" t="s">
        <v>576</v>
      </c>
      <c r="B5027" t="s">
        <v>119</v>
      </c>
      <c r="C5027" s="2">
        <f>HYPERLINK("https://svao.dolgi.msk.ru/account/1760238737/", 1760238737)</f>
        <v>1760238737</v>
      </c>
      <c r="D5027">
        <v>3163.22</v>
      </c>
    </row>
    <row r="5028" spans="1:4" x14ac:dyDescent="0.25">
      <c r="A5028" t="s">
        <v>576</v>
      </c>
      <c r="B5028" t="s">
        <v>128</v>
      </c>
      <c r="C5028" s="2">
        <f>HYPERLINK("https://svao.dolgi.msk.ru/account/1760238788/", 1760238788)</f>
        <v>1760238788</v>
      </c>
      <c r="D5028">
        <v>7829.78</v>
      </c>
    </row>
    <row r="5029" spans="1:4" x14ac:dyDescent="0.25">
      <c r="A5029" t="s">
        <v>576</v>
      </c>
      <c r="B5029" t="s">
        <v>133</v>
      </c>
      <c r="C5029" s="2">
        <f>HYPERLINK("https://svao.dolgi.msk.ru/account/1760238833/", 1760238833)</f>
        <v>1760238833</v>
      </c>
      <c r="D5029">
        <v>31584.98</v>
      </c>
    </row>
    <row r="5030" spans="1:4" x14ac:dyDescent="0.25">
      <c r="A5030" t="s">
        <v>576</v>
      </c>
      <c r="B5030" t="s">
        <v>133</v>
      </c>
      <c r="C5030" s="2">
        <f>HYPERLINK("https://svao.dolgi.msk.ru/account/1760238841/", 1760238841)</f>
        <v>1760238841</v>
      </c>
      <c r="D5030">
        <v>118293.99</v>
      </c>
    </row>
    <row r="5031" spans="1:4" x14ac:dyDescent="0.25">
      <c r="A5031" t="s">
        <v>576</v>
      </c>
      <c r="B5031" t="s">
        <v>96</v>
      </c>
      <c r="C5031" s="2">
        <f>HYPERLINK("https://svao.dolgi.msk.ru/account/1760238868/", 1760238868)</f>
        <v>1760238868</v>
      </c>
      <c r="D5031">
        <v>6066.62</v>
      </c>
    </row>
    <row r="5032" spans="1:4" x14ac:dyDescent="0.25">
      <c r="A5032" t="s">
        <v>576</v>
      </c>
      <c r="B5032" t="s">
        <v>96</v>
      </c>
      <c r="C5032" s="2">
        <f>HYPERLINK("https://svao.dolgi.msk.ru/account/1760271983/", 1760271983)</f>
        <v>1760271983</v>
      </c>
      <c r="D5032">
        <v>275.39999999999998</v>
      </c>
    </row>
    <row r="5033" spans="1:4" x14ac:dyDescent="0.25">
      <c r="A5033" t="s">
        <v>576</v>
      </c>
      <c r="B5033" t="s">
        <v>28</v>
      </c>
      <c r="C5033" s="2">
        <f>HYPERLINK("https://svao.dolgi.msk.ru/account/1760238972/", 1760238972)</f>
        <v>1760238972</v>
      </c>
      <c r="D5033">
        <v>6051</v>
      </c>
    </row>
    <row r="5034" spans="1:4" x14ac:dyDescent="0.25">
      <c r="A5034" t="s">
        <v>576</v>
      </c>
      <c r="B5034" t="s">
        <v>29</v>
      </c>
      <c r="C5034" s="2">
        <f>HYPERLINK("https://svao.dolgi.msk.ru/account/1760238999/", 1760238999)</f>
        <v>1760238999</v>
      </c>
      <c r="D5034">
        <v>10887.74</v>
      </c>
    </row>
    <row r="5035" spans="1:4" x14ac:dyDescent="0.25">
      <c r="A5035" t="s">
        <v>576</v>
      </c>
      <c r="B5035" t="s">
        <v>244</v>
      </c>
      <c r="C5035" s="2">
        <f>HYPERLINK("https://svao.dolgi.msk.ru/account/1760239019/", 1760239019)</f>
        <v>1760239019</v>
      </c>
      <c r="D5035">
        <v>22784.69</v>
      </c>
    </row>
    <row r="5036" spans="1:4" x14ac:dyDescent="0.25">
      <c r="A5036" t="s">
        <v>576</v>
      </c>
      <c r="B5036" t="s">
        <v>129</v>
      </c>
      <c r="C5036" s="2">
        <f>HYPERLINK("https://svao.dolgi.msk.ru/account/1760239027/", 1760239027)</f>
        <v>1760239027</v>
      </c>
      <c r="D5036">
        <v>6652.03</v>
      </c>
    </row>
    <row r="5037" spans="1:4" x14ac:dyDescent="0.25">
      <c r="A5037" t="s">
        <v>576</v>
      </c>
      <c r="B5037" t="s">
        <v>85</v>
      </c>
      <c r="C5037" s="2">
        <f>HYPERLINK("https://svao.dolgi.msk.ru/account/1760239166/", 1760239166)</f>
        <v>1760239166</v>
      </c>
      <c r="D5037">
        <v>7717.55</v>
      </c>
    </row>
    <row r="5038" spans="1:4" x14ac:dyDescent="0.25">
      <c r="A5038" t="s">
        <v>576</v>
      </c>
      <c r="B5038" t="s">
        <v>33</v>
      </c>
      <c r="C5038" s="2">
        <f>HYPERLINK("https://svao.dolgi.msk.ru/account/1760239174/", 1760239174)</f>
        <v>1760239174</v>
      </c>
      <c r="D5038">
        <v>10213.89</v>
      </c>
    </row>
    <row r="5039" spans="1:4" x14ac:dyDescent="0.25">
      <c r="A5039" t="s">
        <v>576</v>
      </c>
      <c r="B5039" t="s">
        <v>34</v>
      </c>
      <c r="C5039" s="2">
        <f>HYPERLINK("https://svao.dolgi.msk.ru/account/1760239182/", 1760239182)</f>
        <v>1760239182</v>
      </c>
      <c r="D5039">
        <v>8342.65</v>
      </c>
    </row>
    <row r="5040" spans="1:4" x14ac:dyDescent="0.25">
      <c r="A5040" t="s">
        <v>576</v>
      </c>
      <c r="B5040" t="s">
        <v>99</v>
      </c>
      <c r="C5040" s="2">
        <f>HYPERLINK("https://svao.dolgi.msk.ru/account/1760239238/", 1760239238)</f>
        <v>1760239238</v>
      </c>
      <c r="D5040">
        <v>2246.59</v>
      </c>
    </row>
    <row r="5041" spans="1:4" x14ac:dyDescent="0.25">
      <c r="A5041" t="s">
        <v>576</v>
      </c>
      <c r="B5041" t="s">
        <v>87</v>
      </c>
      <c r="C5041" s="2">
        <f>HYPERLINK("https://svao.dolgi.msk.ru/account/1760239318/", 1760239318)</f>
        <v>1760239318</v>
      </c>
      <c r="D5041">
        <v>3642.04</v>
      </c>
    </row>
    <row r="5042" spans="1:4" x14ac:dyDescent="0.25">
      <c r="A5042" t="s">
        <v>576</v>
      </c>
      <c r="B5042" t="s">
        <v>304</v>
      </c>
      <c r="C5042" s="2">
        <f>HYPERLINK("https://svao.dolgi.msk.ru/account/1760239369/", 1760239369)</f>
        <v>1760239369</v>
      </c>
      <c r="D5042">
        <v>5098.5600000000004</v>
      </c>
    </row>
    <row r="5043" spans="1:4" x14ac:dyDescent="0.25">
      <c r="A5043" t="s">
        <v>576</v>
      </c>
      <c r="B5043" t="s">
        <v>38</v>
      </c>
      <c r="C5043" s="2">
        <f>HYPERLINK("https://svao.dolgi.msk.ru/account/1760239393/", 1760239393)</f>
        <v>1760239393</v>
      </c>
      <c r="D5043">
        <v>5864.74</v>
      </c>
    </row>
    <row r="5044" spans="1:4" x14ac:dyDescent="0.25">
      <c r="A5044" t="s">
        <v>576</v>
      </c>
      <c r="B5044" t="s">
        <v>40</v>
      </c>
      <c r="C5044" s="2">
        <f>HYPERLINK("https://svao.dolgi.msk.ru/account/1760239422/", 1760239422)</f>
        <v>1760239422</v>
      </c>
      <c r="D5044">
        <v>3557.8</v>
      </c>
    </row>
    <row r="5045" spans="1:4" x14ac:dyDescent="0.25">
      <c r="A5045" t="s">
        <v>576</v>
      </c>
      <c r="B5045" t="s">
        <v>89</v>
      </c>
      <c r="C5045" s="2">
        <f>HYPERLINK("https://svao.dolgi.msk.ru/account/1760239473/", 1760239473)</f>
        <v>1760239473</v>
      </c>
      <c r="D5045">
        <v>4203.8500000000004</v>
      </c>
    </row>
    <row r="5046" spans="1:4" x14ac:dyDescent="0.25">
      <c r="A5046" t="s">
        <v>576</v>
      </c>
      <c r="B5046" t="s">
        <v>142</v>
      </c>
      <c r="C5046" s="2">
        <f>HYPERLINK("https://svao.dolgi.msk.ru/account/1760239481/", 1760239481)</f>
        <v>1760239481</v>
      </c>
      <c r="D5046">
        <v>5062.37</v>
      </c>
    </row>
    <row r="5047" spans="1:4" x14ac:dyDescent="0.25">
      <c r="A5047" t="s">
        <v>576</v>
      </c>
      <c r="B5047" t="s">
        <v>144</v>
      </c>
      <c r="C5047" s="2">
        <f>HYPERLINK("https://svao.dolgi.msk.ru/account/1760239529/", 1760239529)</f>
        <v>1760239529</v>
      </c>
      <c r="D5047">
        <v>197628.19</v>
      </c>
    </row>
    <row r="5048" spans="1:4" x14ac:dyDescent="0.25">
      <c r="A5048" t="s">
        <v>576</v>
      </c>
      <c r="B5048" t="s">
        <v>301</v>
      </c>
      <c r="C5048" s="2">
        <f>HYPERLINK("https://svao.dolgi.msk.ru/account/1760239545/", 1760239545)</f>
        <v>1760239545</v>
      </c>
      <c r="D5048">
        <v>7203.72</v>
      </c>
    </row>
    <row r="5049" spans="1:4" x14ac:dyDescent="0.25">
      <c r="A5049" t="s">
        <v>576</v>
      </c>
      <c r="B5049" t="s">
        <v>46</v>
      </c>
      <c r="C5049" s="2">
        <f>HYPERLINK("https://svao.dolgi.msk.ru/account/1760239561/", 1760239561)</f>
        <v>1760239561</v>
      </c>
      <c r="D5049">
        <v>4244.92</v>
      </c>
    </row>
    <row r="5050" spans="1:4" x14ac:dyDescent="0.25">
      <c r="A5050" t="s">
        <v>576</v>
      </c>
      <c r="B5050" t="s">
        <v>339</v>
      </c>
      <c r="C5050" s="2">
        <f>HYPERLINK("https://svao.dolgi.msk.ru/account/1760239609/", 1760239609)</f>
        <v>1760239609</v>
      </c>
      <c r="D5050">
        <v>6453.51</v>
      </c>
    </row>
    <row r="5051" spans="1:4" x14ac:dyDescent="0.25">
      <c r="A5051" t="s">
        <v>576</v>
      </c>
      <c r="B5051" t="s">
        <v>294</v>
      </c>
      <c r="C5051" s="2">
        <f>HYPERLINK("https://svao.dolgi.msk.ru/account/1760239713/", 1760239713)</f>
        <v>1760239713</v>
      </c>
      <c r="D5051">
        <v>319941.93</v>
      </c>
    </row>
    <row r="5052" spans="1:4" x14ac:dyDescent="0.25">
      <c r="A5052" t="s">
        <v>576</v>
      </c>
      <c r="B5052" t="s">
        <v>306</v>
      </c>
      <c r="C5052" s="2">
        <f>HYPERLINK("https://svao.dolgi.msk.ru/account/1760239764/", 1760239764)</f>
        <v>1760239764</v>
      </c>
      <c r="D5052">
        <v>6421.5</v>
      </c>
    </row>
    <row r="5053" spans="1:4" x14ac:dyDescent="0.25">
      <c r="A5053" t="s">
        <v>576</v>
      </c>
      <c r="B5053" t="s">
        <v>50</v>
      </c>
      <c r="C5053" s="2">
        <f>HYPERLINK("https://svao.dolgi.msk.ru/account/1760239799/", 1760239799)</f>
        <v>1760239799</v>
      </c>
      <c r="D5053">
        <v>2394.02</v>
      </c>
    </row>
    <row r="5054" spans="1:4" x14ac:dyDescent="0.25">
      <c r="A5054" t="s">
        <v>576</v>
      </c>
      <c r="B5054" t="s">
        <v>334</v>
      </c>
      <c r="C5054" s="2">
        <f>HYPERLINK("https://svao.dolgi.msk.ru/account/1760239836/", 1760239836)</f>
        <v>1760239836</v>
      </c>
      <c r="D5054">
        <v>22623.69</v>
      </c>
    </row>
    <row r="5055" spans="1:4" x14ac:dyDescent="0.25">
      <c r="A5055" t="s">
        <v>576</v>
      </c>
      <c r="B5055" t="s">
        <v>52</v>
      </c>
      <c r="C5055" s="2">
        <f>HYPERLINK("https://svao.dolgi.msk.ru/account/1760239852/", 1760239852)</f>
        <v>1760239852</v>
      </c>
      <c r="D5055">
        <v>8226.6</v>
      </c>
    </row>
    <row r="5056" spans="1:4" x14ac:dyDescent="0.25">
      <c r="A5056" t="s">
        <v>576</v>
      </c>
      <c r="B5056" t="s">
        <v>296</v>
      </c>
      <c r="C5056" s="2">
        <f>HYPERLINK("https://svao.dolgi.msk.ru/account/1760239991/", 1760239991)</f>
        <v>1760239991</v>
      </c>
      <c r="D5056">
        <v>10424.31</v>
      </c>
    </row>
    <row r="5057" spans="1:4" x14ac:dyDescent="0.25">
      <c r="A5057" t="s">
        <v>576</v>
      </c>
      <c r="B5057" t="s">
        <v>317</v>
      </c>
      <c r="C5057" s="2">
        <f>HYPERLINK("https://svao.dolgi.msk.ru/account/1760240036/", 1760240036)</f>
        <v>1760240036</v>
      </c>
      <c r="D5057">
        <v>16673.419999999998</v>
      </c>
    </row>
    <row r="5058" spans="1:4" x14ac:dyDescent="0.25">
      <c r="A5058" t="s">
        <v>576</v>
      </c>
      <c r="B5058" t="s">
        <v>254</v>
      </c>
      <c r="C5058" s="2">
        <f>HYPERLINK("https://svao.dolgi.msk.ru/account/1760240108/", 1760240108)</f>
        <v>1760240108</v>
      </c>
      <c r="D5058">
        <v>5472.74</v>
      </c>
    </row>
    <row r="5059" spans="1:4" x14ac:dyDescent="0.25">
      <c r="A5059" t="s">
        <v>576</v>
      </c>
      <c r="B5059" t="s">
        <v>327</v>
      </c>
      <c r="C5059" s="2">
        <f>HYPERLINK("https://svao.dolgi.msk.ru/account/1760240183/", 1760240183)</f>
        <v>1760240183</v>
      </c>
      <c r="D5059">
        <v>10779.47</v>
      </c>
    </row>
    <row r="5060" spans="1:4" x14ac:dyDescent="0.25">
      <c r="A5060" t="s">
        <v>576</v>
      </c>
      <c r="B5060" t="s">
        <v>56</v>
      </c>
      <c r="C5060" s="2">
        <f>HYPERLINK("https://svao.dolgi.msk.ru/account/1760240191/", 1760240191)</f>
        <v>1760240191</v>
      </c>
      <c r="D5060">
        <v>6128.64</v>
      </c>
    </row>
    <row r="5061" spans="1:4" x14ac:dyDescent="0.25">
      <c r="A5061" t="s">
        <v>576</v>
      </c>
      <c r="B5061" t="s">
        <v>328</v>
      </c>
      <c r="C5061" s="2">
        <f>HYPERLINK("https://svao.dolgi.msk.ru/account/1760240212/", 1760240212)</f>
        <v>1760240212</v>
      </c>
      <c r="D5061">
        <v>1249.6500000000001</v>
      </c>
    </row>
    <row r="5062" spans="1:4" x14ac:dyDescent="0.25">
      <c r="A5062" t="s">
        <v>576</v>
      </c>
      <c r="B5062" t="s">
        <v>156</v>
      </c>
      <c r="C5062" s="2">
        <f>HYPERLINK("https://svao.dolgi.msk.ru/account/1760240271/", 1760240271)</f>
        <v>1760240271</v>
      </c>
      <c r="D5062">
        <v>6980.25</v>
      </c>
    </row>
    <row r="5063" spans="1:4" x14ac:dyDescent="0.25">
      <c r="A5063" t="s">
        <v>576</v>
      </c>
      <c r="B5063" t="s">
        <v>299</v>
      </c>
      <c r="C5063" s="2">
        <f>HYPERLINK("https://svao.dolgi.msk.ru/account/1760240407/", 1760240407)</f>
        <v>1760240407</v>
      </c>
      <c r="D5063">
        <v>15023.25</v>
      </c>
    </row>
    <row r="5064" spans="1:4" x14ac:dyDescent="0.25">
      <c r="A5064" t="s">
        <v>576</v>
      </c>
      <c r="B5064" t="s">
        <v>59</v>
      </c>
      <c r="C5064" s="2">
        <f>HYPERLINK("https://svao.dolgi.msk.ru/account/1760240423/", 1760240423)</f>
        <v>1760240423</v>
      </c>
      <c r="D5064">
        <v>4249.6899999999996</v>
      </c>
    </row>
    <row r="5065" spans="1:4" x14ac:dyDescent="0.25">
      <c r="A5065" t="s">
        <v>576</v>
      </c>
      <c r="B5065" t="s">
        <v>59</v>
      </c>
      <c r="C5065" s="2">
        <f>HYPERLINK("https://svao.dolgi.msk.ru/account/1760240458/", 1760240458)</f>
        <v>1760240458</v>
      </c>
      <c r="D5065">
        <v>4926.6000000000004</v>
      </c>
    </row>
    <row r="5066" spans="1:4" x14ac:dyDescent="0.25">
      <c r="A5066" t="s">
        <v>576</v>
      </c>
      <c r="B5066" t="s">
        <v>342</v>
      </c>
      <c r="C5066" s="2">
        <f>HYPERLINK("https://svao.dolgi.msk.ru/account/1760240511/", 1760240511)</f>
        <v>1760240511</v>
      </c>
      <c r="D5066">
        <v>6207.94</v>
      </c>
    </row>
    <row r="5067" spans="1:4" x14ac:dyDescent="0.25">
      <c r="A5067" t="s">
        <v>576</v>
      </c>
      <c r="B5067" t="s">
        <v>343</v>
      </c>
      <c r="C5067" s="2">
        <f>HYPERLINK("https://svao.dolgi.msk.ru/account/1760240538/", 1760240538)</f>
        <v>1760240538</v>
      </c>
      <c r="D5067">
        <v>6422.13</v>
      </c>
    </row>
    <row r="5068" spans="1:4" x14ac:dyDescent="0.25">
      <c r="A5068" t="s">
        <v>576</v>
      </c>
      <c r="B5068" t="s">
        <v>61</v>
      </c>
      <c r="C5068" s="2">
        <f>HYPERLINK("https://svao.dolgi.msk.ru/account/1760240546/", 1760240546)</f>
        <v>1760240546</v>
      </c>
      <c r="D5068">
        <v>15348.23</v>
      </c>
    </row>
    <row r="5069" spans="1:4" x14ac:dyDescent="0.25">
      <c r="A5069" t="s">
        <v>576</v>
      </c>
      <c r="B5069" t="s">
        <v>159</v>
      </c>
      <c r="C5069" s="2">
        <f>HYPERLINK("https://svao.dolgi.msk.ru/account/1760240554/", 1760240554)</f>
        <v>1760240554</v>
      </c>
      <c r="D5069">
        <v>2445.6799999999998</v>
      </c>
    </row>
    <row r="5070" spans="1:4" x14ac:dyDescent="0.25">
      <c r="A5070" t="s">
        <v>576</v>
      </c>
      <c r="B5070" t="s">
        <v>66</v>
      </c>
      <c r="C5070" s="2">
        <f>HYPERLINK("https://svao.dolgi.msk.ru/account/1760240714/", 1760240714)</f>
        <v>1760240714</v>
      </c>
      <c r="D5070">
        <v>3811.37</v>
      </c>
    </row>
    <row r="5071" spans="1:4" x14ac:dyDescent="0.25">
      <c r="A5071" t="s">
        <v>576</v>
      </c>
      <c r="B5071" t="s">
        <v>67</v>
      </c>
      <c r="C5071" s="2">
        <f>HYPERLINK("https://svao.dolgi.msk.ru/account/1760240773/", 1760240773)</f>
        <v>1760240773</v>
      </c>
      <c r="D5071">
        <v>21198.04</v>
      </c>
    </row>
    <row r="5072" spans="1:4" x14ac:dyDescent="0.25">
      <c r="A5072" t="s">
        <v>576</v>
      </c>
      <c r="B5072" t="s">
        <v>380</v>
      </c>
      <c r="C5072" s="2">
        <f>HYPERLINK("https://svao.dolgi.msk.ru/account/1760240802/", 1760240802)</f>
        <v>1760240802</v>
      </c>
      <c r="D5072">
        <v>38251.74</v>
      </c>
    </row>
    <row r="5073" spans="1:4" x14ac:dyDescent="0.25">
      <c r="A5073" t="s">
        <v>576</v>
      </c>
      <c r="B5073" t="s">
        <v>68</v>
      </c>
      <c r="C5073" s="2">
        <f>HYPERLINK("https://svao.dolgi.msk.ru/account/1761820139/", 1761820139)</f>
        <v>1761820139</v>
      </c>
      <c r="D5073">
        <v>6559.88</v>
      </c>
    </row>
    <row r="5074" spans="1:4" x14ac:dyDescent="0.25">
      <c r="A5074" t="s">
        <v>577</v>
      </c>
      <c r="B5074" t="s">
        <v>5</v>
      </c>
      <c r="C5074" s="2">
        <f>HYPERLINK("https://svao.dolgi.msk.ru/account/1760225733/", 1760225733)</f>
        <v>1760225733</v>
      </c>
      <c r="D5074">
        <v>3855.33</v>
      </c>
    </row>
    <row r="5075" spans="1:4" x14ac:dyDescent="0.25">
      <c r="A5075" t="s">
        <v>577</v>
      </c>
      <c r="B5075" t="s">
        <v>7</v>
      </c>
      <c r="C5075" s="2">
        <f>HYPERLINK("https://svao.dolgi.msk.ru/account/1760225776/", 1760225776)</f>
        <v>1760225776</v>
      </c>
      <c r="D5075">
        <v>742.45</v>
      </c>
    </row>
    <row r="5076" spans="1:4" x14ac:dyDescent="0.25">
      <c r="A5076" t="s">
        <v>577</v>
      </c>
      <c r="B5076" t="s">
        <v>7</v>
      </c>
      <c r="C5076" s="2">
        <f>HYPERLINK("https://svao.dolgi.msk.ru/account/1760225856/", 1760225856)</f>
        <v>1760225856</v>
      </c>
      <c r="D5076">
        <v>563.6</v>
      </c>
    </row>
    <row r="5077" spans="1:4" x14ac:dyDescent="0.25">
      <c r="A5077" t="s">
        <v>577</v>
      </c>
      <c r="B5077" t="s">
        <v>7</v>
      </c>
      <c r="C5077" s="2">
        <f>HYPERLINK("https://svao.dolgi.msk.ru/account/1760225872/", 1760225872)</f>
        <v>1760225872</v>
      </c>
      <c r="D5077">
        <v>997.79</v>
      </c>
    </row>
    <row r="5078" spans="1:4" x14ac:dyDescent="0.25">
      <c r="A5078" t="s">
        <v>577</v>
      </c>
      <c r="B5078" t="s">
        <v>141</v>
      </c>
      <c r="C5078" s="2">
        <f>HYPERLINK("https://svao.dolgi.msk.ru/account/1760225784/", 1760225784)</f>
        <v>1760225784</v>
      </c>
      <c r="D5078">
        <v>9503.7999999999993</v>
      </c>
    </row>
    <row r="5079" spans="1:4" x14ac:dyDescent="0.25">
      <c r="A5079" t="s">
        <v>577</v>
      </c>
      <c r="B5079" t="s">
        <v>8</v>
      </c>
      <c r="C5079" s="2">
        <f>HYPERLINK("https://svao.dolgi.msk.ru/account/1760225848/", 1760225848)</f>
        <v>1760225848</v>
      </c>
      <c r="D5079">
        <v>5255.84</v>
      </c>
    </row>
    <row r="5080" spans="1:4" x14ac:dyDescent="0.25">
      <c r="A5080" t="s">
        <v>577</v>
      </c>
      <c r="B5080" t="s">
        <v>74</v>
      </c>
      <c r="C5080" s="2">
        <f>HYPERLINK("https://svao.dolgi.msk.ru/account/1760225864/", 1760225864)</f>
        <v>1760225864</v>
      </c>
      <c r="D5080">
        <v>9802.14</v>
      </c>
    </row>
    <row r="5081" spans="1:4" x14ac:dyDescent="0.25">
      <c r="A5081" t="s">
        <v>577</v>
      </c>
      <c r="B5081" t="s">
        <v>137</v>
      </c>
      <c r="C5081" s="2">
        <f>HYPERLINK("https://svao.dolgi.msk.ru/account/1760225899/", 1760225899)</f>
        <v>1760225899</v>
      </c>
      <c r="D5081">
        <v>5011.62</v>
      </c>
    </row>
    <row r="5082" spans="1:4" x14ac:dyDescent="0.25">
      <c r="A5082" t="s">
        <v>577</v>
      </c>
      <c r="B5082" t="s">
        <v>9</v>
      </c>
      <c r="C5082" s="2">
        <f>HYPERLINK("https://svao.dolgi.msk.ru/account/1760225901/", 1760225901)</f>
        <v>1760225901</v>
      </c>
      <c r="D5082">
        <v>6029.74</v>
      </c>
    </row>
    <row r="5083" spans="1:4" x14ac:dyDescent="0.25">
      <c r="A5083" t="s">
        <v>577</v>
      </c>
      <c r="B5083" t="s">
        <v>75</v>
      </c>
      <c r="C5083" s="2">
        <f>HYPERLINK("https://svao.dolgi.msk.ru/account/1760225928/", 1760225928)</f>
        <v>1760225928</v>
      </c>
      <c r="D5083">
        <v>277.08</v>
      </c>
    </row>
    <row r="5084" spans="1:4" x14ac:dyDescent="0.25">
      <c r="A5084" t="s">
        <v>577</v>
      </c>
      <c r="B5084" t="s">
        <v>91</v>
      </c>
      <c r="C5084" s="2">
        <f>HYPERLINK("https://svao.dolgi.msk.ru/account/1760225936/", 1760225936)</f>
        <v>1760225936</v>
      </c>
      <c r="D5084">
        <v>10892.65</v>
      </c>
    </row>
    <row r="5085" spans="1:4" x14ac:dyDescent="0.25">
      <c r="A5085" t="s">
        <v>577</v>
      </c>
      <c r="B5085" t="s">
        <v>12</v>
      </c>
      <c r="C5085" s="2">
        <f>HYPERLINK("https://svao.dolgi.msk.ru/account/1760226007/", 1760226007)</f>
        <v>1760226007</v>
      </c>
      <c r="D5085">
        <v>2246.73</v>
      </c>
    </row>
    <row r="5086" spans="1:4" x14ac:dyDescent="0.25">
      <c r="A5086" t="s">
        <v>577</v>
      </c>
      <c r="B5086" t="s">
        <v>12</v>
      </c>
      <c r="C5086" s="2">
        <f>HYPERLINK("https://svao.dolgi.msk.ru/account/1760226015/", 1760226015)</f>
        <v>1760226015</v>
      </c>
      <c r="D5086">
        <v>34485.67</v>
      </c>
    </row>
    <row r="5087" spans="1:4" x14ac:dyDescent="0.25">
      <c r="A5087" t="s">
        <v>577</v>
      </c>
      <c r="B5087" t="s">
        <v>12</v>
      </c>
      <c r="C5087" s="2">
        <f>HYPERLINK("https://svao.dolgi.msk.ru/account/1760226023/", 1760226023)</f>
        <v>1760226023</v>
      </c>
      <c r="D5087">
        <v>2912.14</v>
      </c>
    </row>
    <row r="5088" spans="1:4" x14ac:dyDescent="0.25">
      <c r="A5088" t="s">
        <v>577</v>
      </c>
      <c r="B5088" t="s">
        <v>13</v>
      </c>
      <c r="C5088" s="2">
        <f>HYPERLINK("https://svao.dolgi.msk.ru/account/1760226031/", 1760226031)</f>
        <v>1760226031</v>
      </c>
      <c r="D5088">
        <v>3382.86</v>
      </c>
    </row>
    <row r="5089" spans="1:4" x14ac:dyDescent="0.25">
      <c r="A5089" t="s">
        <v>577</v>
      </c>
      <c r="B5089" t="s">
        <v>15</v>
      </c>
      <c r="C5089" s="2">
        <f>HYPERLINK("https://svao.dolgi.msk.ru/account/1760226111/", 1760226111)</f>
        <v>1760226111</v>
      </c>
      <c r="D5089">
        <v>7649.43</v>
      </c>
    </row>
    <row r="5090" spans="1:4" x14ac:dyDescent="0.25">
      <c r="A5090" t="s">
        <v>577</v>
      </c>
      <c r="B5090" t="s">
        <v>17</v>
      </c>
      <c r="C5090" s="2">
        <f>HYPERLINK("https://svao.dolgi.msk.ru/account/1760226154/", 1760226154)</f>
        <v>1760226154</v>
      </c>
      <c r="D5090">
        <v>9631.42</v>
      </c>
    </row>
    <row r="5091" spans="1:4" x14ac:dyDescent="0.25">
      <c r="A5091" t="s">
        <v>577</v>
      </c>
      <c r="B5091" t="s">
        <v>20</v>
      </c>
      <c r="C5091" s="2">
        <f>HYPERLINK("https://svao.dolgi.msk.ru/account/1760226234/", 1760226234)</f>
        <v>1760226234</v>
      </c>
      <c r="D5091">
        <v>6336.76</v>
      </c>
    </row>
    <row r="5092" spans="1:4" x14ac:dyDescent="0.25">
      <c r="A5092" t="s">
        <v>577</v>
      </c>
      <c r="B5092" t="s">
        <v>111</v>
      </c>
      <c r="C5092" s="2">
        <f>HYPERLINK("https://svao.dolgi.msk.ru/account/1760226285/", 1760226285)</f>
        <v>1760226285</v>
      </c>
      <c r="D5092">
        <v>5989.69</v>
      </c>
    </row>
    <row r="5093" spans="1:4" x14ac:dyDescent="0.25">
      <c r="A5093" t="s">
        <v>577</v>
      </c>
      <c r="B5093" t="s">
        <v>112</v>
      </c>
      <c r="C5093" s="2">
        <f>HYPERLINK("https://svao.dolgi.msk.ru/account/1760226306/", 1760226306)</f>
        <v>1760226306</v>
      </c>
      <c r="D5093">
        <v>3668.94</v>
      </c>
    </row>
    <row r="5094" spans="1:4" x14ac:dyDescent="0.25">
      <c r="A5094" t="s">
        <v>577</v>
      </c>
      <c r="B5094" t="s">
        <v>21</v>
      </c>
      <c r="C5094" s="2">
        <f>HYPERLINK("https://svao.dolgi.msk.ru/account/1760226322/", 1760226322)</f>
        <v>1760226322</v>
      </c>
      <c r="D5094">
        <v>18835.64</v>
      </c>
    </row>
    <row r="5095" spans="1:4" x14ac:dyDescent="0.25">
      <c r="A5095" t="s">
        <v>577</v>
      </c>
      <c r="B5095" t="s">
        <v>78</v>
      </c>
      <c r="C5095" s="2">
        <f>HYPERLINK("https://svao.dolgi.msk.ru/account/1760226373/", 1760226373)</f>
        <v>1760226373</v>
      </c>
      <c r="D5095">
        <v>7224.29</v>
      </c>
    </row>
    <row r="5096" spans="1:4" x14ac:dyDescent="0.25">
      <c r="A5096" t="s">
        <v>577</v>
      </c>
      <c r="B5096" t="s">
        <v>22</v>
      </c>
      <c r="C5096" s="2">
        <f>HYPERLINK("https://svao.dolgi.msk.ru/account/1760226402/", 1760226402)</f>
        <v>1760226402</v>
      </c>
      <c r="D5096">
        <v>6104.72</v>
      </c>
    </row>
    <row r="5097" spans="1:4" x14ac:dyDescent="0.25">
      <c r="A5097" t="s">
        <v>577</v>
      </c>
      <c r="B5097" t="s">
        <v>79</v>
      </c>
      <c r="C5097" s="2">
        <f>HYPERLINK("https://svao.dolgi.msk.ru/account/1760226429/", 1760226429)</f>
        <v>1760226429</v>
      </c>
      <c r="D5097">
        <v>157050.37</v>
      </c>
    </row>
    <row r="5098" spans="1:4" x14ac:dyDescent="0.25">
      <c r="A5098" t="s">
        <v>577</v>
      </c>
      <c r="B5098" t="s">
        <v>24</v>
      </c>
      <c r="C5098" s="2">
        <f>HYPERLINK("https://svao.dolgi.msk.ru/account/1760226496/", 1760226496)</f>
        <v>1760226496</v>
      </c>
      <c r="D5098">
        <v>85042.44</v>
      </c>
    </row>
    <row r="5099" spans="1:4" x14ac:dyDescent="0.25">
      <c r="A5099" t="s">
        <v>577</v>
      </c>
      <c r="B5099" t="s">
        <v>126</v>
      </c>
      <c r="C5099" s="2">
        <f>HYPERLINK("https://svao.dolgi.msk.ru/account/1760226568/", 1760226568)</f>
        <v>1760226568</v>
      </c>
      <c r="D5099">
        <v>13323.03</v>
      </c>
    </row>
    <row r="5100" spans="1:4" x14ac:dyDescent="0.25">
      <c r="A5100" t="s">
        <v>577</v>
      </c>
      <c r="B5100" t="s">
        <v>126</v>
      </c>
      <c r="C5100" s="2">
        <f>HYPERLINK("https://svao.dolgi.msk.ru/account/1760226576/", 1760226576)</f>
        <v>1760226576</v>
      </c>
      <c r="D5100">
        <v>1052.06</v>
      </c>
    </row>
    <row r="5101" spans="1:4" x14ac:dyDescent="0.25">
      <c r="A5101" t="s">
        <v>577</v>
      </c>
      <c r="B5101" t="s">
        <v>118</v>
      </c>
      <c r="C5101" s="2">
        <f>HYPERLINK("https://svao.dolgi.msk.ru/account/1760226605/", 1760226605)</f>
        <v>1760226605</v>
      </c>
      <c r="D5101">
        <v>8704.82</v>
      </c>
    </row>
    <row r="5102" spans="1:4" x14ac:dyDescent="0.25">
      <c r="A5102" t="s">
        <v>577</v>
      </c>
      <c r="B5102" t="s">
        <v>81</v>
      </c>
      <c r="C5102" s="2">
        <f>HYPERLINK("https://svao.dolgi.msk.ru/account/1760226656/", 1760226656)</f>
        <v>1760226656</v>
      </c>
      <c r="D5102">
        <v>1102.83</v>
      </c>
    </row>
    <row r="5103" spans="1:4" x14ac:dyDescent="0.25">
      <c r="A5103" t="s">
        <v>577</v>
      </c>
      <c r="B5103" t="s">
        <v>128</v>
      </c>
      <c r="C5103" s="2">
        <f>HYPERLINK("https://svao.dolgi.msk.ru/account/1760226728/", 1760226728)</f>
        <v>1760226728</v>
      </c>
      <c r="D5103">
        <v>5229.6499999999996</v>
      </c>
    </row>
    <row r="5104" spans="1:4" x14ac:dyDescent="0.25">
      <c r="A5104" t="s">
        <v>577</v>
      </c>
      <c r="B5104" t="s">
        <v>243</v>
      </c>
      <c r="C5104" s="2">
        <f>HYPERLINK("https://svao.dolgi.msk.ru/account/1760226824/", 1760226824)</f>
        <v>1760226824</v>
      </c>
      <c r="D5104">
        <v>51435.96</v>
      </c>
    </row>
    <row r="5105" spans="1:4" x14ac:dyDescent="0.25">
      <c r="A5105" t="s">
        <v>577</v>
      </c>
      <c r="B5105" t="s">
        <v>243</v>
      </c>
      <c r="C5105" s="2">
        <f>HYPERLINK("https://svao.dolgi.msk.ru/account/1761795543/", 1761795543)</f>
        <v>1761795543</v>
      </c>
      <c r="D5105">
        <v>9736.31</v>
      </c>
    </row>
    <row r="5106" spans="1:4" x14ac:dyDescent="0.25">
      <c r="A5106" t="s">
        <v>577</v>
      </c>
      <c r="B5106" t="s">
        <v>121</v>
      </c>
      <c r="C5106" s="2">
        <f>HYPERLINK("https://svao.dolgi.msk.ru/account/1760226859/", 1760226859)</f>
        <v>1760226859</v>
      </c>
      <c r="D5106">
        <v>4937.3599999999997</v>
      </c>
    </row>
    <row r="5107" spans="1:4" x14ac:dyDescent="0.25">
      <c r="A5107" t="s">
        <v>577</v>
      </c>
      <c r="B5107" t="s">
        <v>134</v>
      </c>
      <c r="C5107" s="2">
        <f>HYPERLINK("https://svao.dolgi.msk.ru/account/1760226875/", 1760226875)</f>
        <v>1760226875</v>
      </c>
      <c r="D5107">
        <v>537.80999999999995</v>
      </c>
    </row>
    <row r="5108" spans="1:4" x14ac:dyDescent="0.25">
      <c r="A5108" t="s">
        <v>577</v>
      </c>
      <c r="B5108" t="s">
        <v>129</v>
      </c>
      <c r="C5108" s="2">
        <f>HYPERLINK("https://svao.dolgi.msk.ru/account/1760226947/", 1760226947)</f>
        <v>1760226947</v>
      </c>
      <c r="D5108">
        <v>6371.47</v>
      </c>
    </row>
    <row r="5109" spans="1:4" x14ac:dyDescent="0.25">
      <c r="A5109" t="s">
        <v>577</v>
      </c>
      <c r="B5109" t="s">
        <v>291</v>
      </c>
      <c r="C5109" s="2">
        <f>HYPERLINK("https://svao.dolgi.msk.ru/account/1760227042/", 1760227042)</f>
        <v>1760227042</v>
      </c>
      <c r="D5109">
        <v>69890.509999999995</v>
      </c>
    </row>
    <row r="5110" spans="1:4" x14ac:dyDescent="0.25">
      <c r="A5110" t="s">
        <v>577</v>
      </c>
      <c r="B5110" t="s">
        <v>245</v>
      </c>
      <c r="C5110" s="2">
        <f>HYPERLINK("https://svao.dolgi.msk.ru/account/1760227069/", 1760227069)</f>
        <v>1760227069</v>
      </c>
      <c r="D5110">
        <v>456.38</v>
      </c>
    </row>
    <row r="5111" spans="1:4" x14ac:dyDescent="0.25">
      <c r="A5111" t="s">
        <v>577</v>
      </c>
      <c r="B5111" t="s">
        <v>85</v>
      </c>
      <c r="C5111" s="2">
        <f>HYPERLINK("https://svao.dolgi.msk.ru/account/1760227085/", 1760227085)</f>
        <v>1760227085</v>
      </c>
      <c r="D5111">
        <v>5701.93</v>
      </c>
    </row>
    <row r="5112" spans="1:4" x14ac:dyDescent="0.25">
      <c r="A5112" t="s">
        <v>577</v>
      </c>
      <c r="B5112" t="s">
        <v>85</v>
      </c>
      <c r="C5112" s="2">
        <f>HYPERLINK("https://svao.dolgi.msk.ru/account/1761793361/", 1761793361)</f>
        <v>1761793361</v>
      </c>
      <c r="D5112">
        <v>14542.51</v>
      </c>
    </row>
    <row r="5113" spans="1:4" x14ac:dyDescent="0.25">
      <c r="A5113" t="s">
        <v>577</v>
      </c>
      <c r="B5113" t="s">
        <v>34</v>
      </c>
      <c r="C5113" s="2">
        <f>HYPERLINK("https://svao.dolgi.msk.ru/account/1760227106/", 1760227106)</f>
        <v>1760227106</v>
      </c>
      <c r="D5113">
        <v>6476.96</v>
      </c>
    </row>
    <row r="5114" spans="1:4" x14ac:dyDescent="0.25">
      <c r="A5114" t="s">
        <v>577</v>
      </c>
      <c r="B5114" t="s">
        <v>35</v>
      </c>
      <c r="C5114" s="2">
        <f>HYPERLINK("https://svao.dolgi.msk.ru/account/1760227114/", 1760227114)</f>
        <v>1760227114</v>
      </c>
      <c r="D5114">
        <v>7926.6</v>
      </c>
    </row>
    <row r="5115" spans="1:4" x14ac:dyDescent="0.25">
      <c r="A5115" t="s">
        <v>577</v>
      </c>
      <c r="B5115" t="s">
        <v>135</v>
      </c>
      <c r="C5115" s="2">
        <f>HYPERLINK("https://svao.dolgi.msk.ru/account/1760227149/", 1760227149)</f>
        <v>1760227149</v>
      </c>
      <c r="D5115">
        <v>7939.73</v>
      </c>
    </row>
    <row r="5116" spans="1:4" x14ac:dyDescent="0.25">
      <c r="A5116" t="s">
        <v>577</v>
      </c>
      <c r="B5116" t="s">
        <v>86</v>
      </c>
      <c r="C5116" s="2">
        <f>HYPERLINK("https://svao.dolgi.msk.ru/account/1760227157/", 1760227157)</f>
        <v>1760227157</v>
      </c>
      <c r="D5116">
        <v>3997.58</v>
      </c>
    </row>
    <row r="5117" spans="1:4" x14ac:dyDescent="0.25">
      <c r="A5117" t="s">
        <v>577</v>
      </c>
      <c r="B5117" t="s">
        <v>333</v>
      </c>
      <c r="C5117" s="2">
        <f>HYPERLINK("https://svao.dolgi.msk.ru/account/1760227165/", 1760227165)</f>
        <v>1760227165</v>
      </c>
      <c r="D5117">
        <v>3940.24</v>
      </c>
    </row>
    <row r="5118" spans="1:4" x14ac:dyDescent="0.25">
      <c r="A5118" t="s">
        <v>577</v>
      </c>
      <c r="B5118" t="s">
        <v>36</v>
      </c>
      <c r="C5118" s="2">
        <f>HYPERLINK("https://svao.dolgi.msk.ru/account/1760227181/", 1760227181)</f>
        <v>1760227181</v>
      </c>
      <c r="D5118">
        <v>3796.8</v>
      </c>
    </row>
    <row r="5119" spans="1:4" x14ac:dyDescent="0.25">
      <c r="A5119" t="s">
        <v>577</v>
      </c>
      <c r="B5119" t="s">
        <v>44</v>
      </c>
      <c r="C5119" s="2">
        <f>HYPERLINK("https://svao.dolgi.msk.ru/account/1760227325/", 1760227325)</f>
        <v>1760227325</v>
      </c>
      <c r="D5119">
        <v>4710.88</v>
      </c>
    </row>
    <row r="5120" spans="1:4" x14ac:dyDescent="0.25">
      <c r="A5120" t="s">
        <v>577</v>
      </c>
      <c r="B5120" t="s">
        <v>142</v>
      </c>
      <c r="C5120" s="2">
        <f>HYPERLINK("https://svao.dolgi.msk.ru/account/1760227376/", 1760227376)</f>
        <v>1760227376</v>
      </c>
      <c r="D5120">
        <v>2951.03</v>
      </c>
    </row>
    <row r="5121" spans="1:4" x14ac:dyDescent="0.25">
      <c r="A5121" t="s">
        <v>577</v>
      </c>
      <c r="B5121" t="s">
        <v>305</v>
      </c>
      <c r="C5121" s="2">
        <f>HYPERLINK("https://svao.dolgi.msk.ru/account/1760227392/", 1760227392)</f>
        <v>1760227392</v>
      </c>
      <c r="D5121">
        <v>3696.62</v>
      </c>
    </row>
    <row r="5122" spans="1:4" x14ac:dyDescent="0.25">
      <c r="A5122" t="s">
        <v>577</v>
      </c>
      <c r="B5122" t="s">
        <v>144</v>
      </c>
      <c r="C5122" s="2">
        <f>HYPERLINK("https://svao.dolgi.msk.ru/account/1760227448/", 1760227448)</f>
        <v>1760227448</v>
      </c>
      <c r="D5122">
        <v>4168.22</v>
      </c>
    </row>
    <row r="5123" spans="1:4" x14ac:dyDescent="0.25">
      <c r="A5123" t="s">
        <v>577</v>
      </c>
      <c r="B5123" t="s">
        <v>248</v>
      </c>
      <c r="C5123" s="2">
        <f>HYPERLINK("https://svao.dolgi.msk.ru/account/1760227472/", 1760227472)</f>
        <v>1760227472</v>
      </c>
      <c r="D5123">
        <v>8562.7099999999991</v>
      </c>
    </row>
    <row r="5124" spans="1:4" x14ac:dyDescent="0.25">
      <c r="A5124" t="s">
        <v>577</v>
      </c>
      <c r="B5124" t="s">
        <v>46</v>
      </c>
      <c r="C5124" s="2">
        <f>HYPERLINK("https://svao.dolgi.msk.ru/account/1760227499/", 1760227499)</f>
        <v>1760227499</v>
      </c>
      <c r="D5124">
        <v>4043.42</v>
      </c>
    </row>
    <row r="5125" spans="1:4" x14ac:dyDescent="0.25">
      <c r="A5125" t="s">
        <v>577</v>
      </c>
      <c r="B5125" t="s">
        <v>145</v>
      </c>
      <c r="C5125" s="2">
        <f>HYPERLINK("https://svao.dolgi.msk.ru/account/1760227501/", 1760227501)</f>
        <v>1760227501</v>
      </c>
      <c r="D5125">
        <v>1796.55</v>
      </c>
    </row>
    <row r="5126" spans="1:4" x14ac:dyDescent="0.25">
      <c r="A5126" t="s">
        <v>577</v>
      </c>
      <c r="B5126" t="s">
        <v>249</v>
      </c>
      <c r="C5126" s="2">
        <f>HYPERLINK("https://svao.dolgi.msk.ru/account/1760227528/", 1760227528)</f>
        <v>1760227528</v>
      </c>
      <c r="D5126">
        <v>19363.169999999998</v>
      </c>
    </row>
    <row r="5127" spans="1:4" x14ac:dyDescent="0.25">
      <c r="A5127" t="s">
        <v>577</v>
      </c>
      <c r="B5127" t="s">
        <v>339</v>
      </c>
      <c r="C5127" s="2">
        <f>HYPERLINK("https://svao.dolgi.msk.ru/account/1760227536/", 1760227536)</f>
        <v>1760227536</v>
      </c>
      <c r="D5127">
        <v>10062.02</v>
      </c>
    </row>
    <row r="5128" spans="1:4" x14ac:dyDescent="0.25">
      <c r="A5128" t="s">
        <v>577</v>
      </c>
      <c r="B5128" t="s">
        <v>47</v>
      </c>
      <c r="C5128" s="2">
        <f>HYPERLINK("https://svao.dolgi.msk.ru/account/1760227544/", 1760227544)</f>
        <v>1760227544</v>
      </c>
      <c r="D5128">
        <v>4042.38</v>
      </c>
    </row>
    <row r="5129" spans="1:4" x14ac:dyDescent="0.25">
      <c r="A5129" t="s">
        <v>577</v>
      </c>
      <c r="B5129" t="s">
        <v>146</v>
      </c>
      <c r="C5129" s="2">
        <f>HYPERLINK("https://svao.dolgi.msk.ru/account/1760227579/", 1760227579)</f>
        <v>1760227579</v>
      </c>
      <c r="D5129">
        <v>4446.96</v>
      </c>
    </row>
    <row r="5130" spans="1:4" x14ac:dyDescent="0.25">
      <c r="A5130" t="s">
        <v>577</v>
      </c>
      <c r="B5130" t="s">
        <v>294</v>
      </c>
      <c r="C5130" s="2">
        <f>HYPERLINK("https://svao.dolgi.msk.ru/account/1760227608/", 1760227608)</f>
        <v>1760227608</v>
      </c>
      <c r="D5130">
        <v>9133.86</v>
      </c>
    </row>
    <row r="5131" spans="1:4" x14ac:dyDescent="0.25">
      <c r="A5131" t="s">
        <v>577</v>
      </c>
      <c r="B5131" t="s">
        <v>147</v>
      </c>
      <c r="C5131" s="2">
        <f>HYPERLINK("https://svao.dolgi.msk.ru/account/1760227616/", 1760227616)</f>
        <v>1760227616</v>
      </c>
      <c r="D5131">
        <v>6677.06</v>
      </c>
    </row>
    <row r="5132" spans="1:4" x14ac:dyDescent="0.25">
      <c r="A5132" t="s">
        <v>577</v>
      </c>
      <c r="B5132" t="s">
        <v>52</v>
      </c>
      <c r="C5132" s="2">
        <f>HYPERLINK("https://svao.dolgi.msk.ru/account/1760227739/", 1760227739)</f>
        <v>1760227739</v>
      </c>
      <c r="D5132">
        <v>6766.49</v>
      </c>
    </row>
    <row r="5133" spans="1:4" x14ac:dyDescent="0.25">
      <c r="A5133" t="s">
        <v>577</v>
      </c>
      <c r="B5133" t="s">
        <v>148</v>
      </c>
      <c r="C5133" s="2">
        <f>HYPERLINK("https://svao.dolgi.msk.ru/account/1760227755/", 1760227755)</f>
        <v>1760227755</v>
      </c>
      <c r="D5133">
        <v>3300.28</v>
      </c>
    </row>
    <row r="5134" spans="1:4" x14ac:dyDescent="0.25">
      <c r="A5134" t="s">
        <v>577</v>
      </c>
      <c r="B5134" t="s">
        <v>149</v>
      </c>
      <c r="C5134" s="2">
        <f>HYPERLINK("https://svao.dolgi.msk.ru/account/1760227771/", 1760227771)</f>
        <v>1760227771</v>
      </c>
      <c r="D5134">
        <v>29418.66</v>
      </c>
    </row>
    <row r="5135" spans="1:4" x14ac:dyDescent="0.25">
      <c r="A5135" t="s">
        <v>577</v>
      </c>
      <c r="B5135" t="s">
        <v>150</v>
      </c>
      <c r="C5135" s="2">
        <f>HYPERLINK("https://svao.dolgi.msk.ru/account/1760227819/", 1760227819)</f>
        <v>1760227819</v>
      </c>
      <c r="D5135">
        <v>5588.73</v>
      </c>
    </row>
    <row r="5136" spans="1:4" x14ac:dyDescent="0.25">
      <c r="A5136" t="s">
        <v>577</v>
      </c>
      <c r="B5136" t="s">
        <v>151</v>
      </c>
      <c r="C5136" s="2">
        <f>HYPERLINK("https://svao.dolgi.msk.ru/account/1760227827/", 1760227827)</f>
        <v>1760227827</v>
      </c>
      <c r="D5136">
        <v>6337.15</v>
      </c>
    </row>
    <row r="5137" spans="1:4" x14ac:dyDescent="0.25">
      <c r="A5137" t="s">
        <v>577</v>
      </c>
      <c r="B5137" t="s">
        <v>296</v>
      </c>
      <c r="C5137" s="2">
        <f>HYPERLINK("https://svao.dolgi.msk.ru/account/1760227835/", 1760227835)</f>
        <v>1760227835</v>
      </c>
      <c r="D5137">
        <v>3726.5</v>
      </c>
    </row>
    <row r="5138" spans="1:4" x14ac:dyDescent="0.25">
      <c r="A5138" t="s">
        <v>577</v>
      </c>
      <c r="B5138" t="s">
        <v>317</v>
      </c>
      <c r="C5138" s="2">
        <f>HYPERLINK("https://svao.dolgi.msk.ru/account/1760227982/", 1760227982)</f>
        <v>1760227982</v>
      </c>
      <c r="D5138">
        <v>9912.7900000000009</v>
      </c>
    </row>
    <row r="5139" spans="1:4" x14ac:dyDescent="0.25">
      <c r="A5139" t="s">
        <v>577</v>
      </c>
      <c r="B5139" t="s">
        <v>53</v>
      </c>
      <c r="C5139" s="2">
        <f>HYPERLINK("https://svao.dolgi.msk.ru/account/1760227851/", 1760227851)</f>
        <v>1760227851</v>
      </c>
      <c r="D5139">
        <v>3856.09</v>
      </c>
    </row>
    <row r="5140" spans="1:4" x14ac:dyDescent="0.25">
      <c r="A5140" t="s">
        <v>577</v>
      </c>
      <c r="B5140" t="s">
        <v>254</v>
      </c>
      <c r="C5140" s="2">
        <f>HYPERLINK("https://svao.dolgi.msk.ru/account/1760227923/", 1760227923)</f>
        <v>1760227923</v>
      </c>
      <c r="D5140">
        <v>7872.83</v>
      </c>
    </row>
    <row r="5141" spans="1:4" x14ac:dyDescent="0.25">
      <c r="A5141" t="s">
        <v>577</v>
      </c>
      <c r="B5141" t="s">
        <v>55</v>
      </c>
      <c r="C5141" s="2">
        <f>HYPERLINK("https://svao.dolgi.msk.ru/account/1760227966/", 1760227966)</f>
        <v>1760227966</v>
      </c>
      <c r="D5141">
        <v>1072.22</v>
      </c>
    </row>
    <row r="5142" spans="1:4" x14ac:dyDescent="0.25">
      <c r="A5142" t="s">
        <v>577</v>
      </c>
      <c r="B5142" t="s">
        <v>297</v>
      </c>
      <c r="C5142" s="2">
        <f>HYPERLINK("https://svao.dolgi.msk.ru/account/1760227974/", 1760227974)</f>
        <v>1760227974</v>
      </c>
      <c r="D5142">
        <v>7991.86</v>
      </c>
    </row>
    <row r="5143" spans="1:4" x14ac:dyDescent="0.25">
      <c r="A5143" t="s">
        <v>577</v>
      </c>
      <c r="B5143" t="s">
        <v>298</v>
      </c>
      <c r="C5143" s="2">
        <f>HYPERLINK("https://svao.dolgi.msk.ru/account/1760228002/", 1760228002)</f>
        <v>1760228002</v>
      </c>
      <c r="D5143">
        <v>4760.6899999999996</v>
      </c>
    </row>
    <row r="5144" spans="1:4" x14ac:dyDescent="0.25">
      <c r="A5144" t="s">
        <v>577</v>
      </c>
      <c r="B5144" t="s">
        <v>312</v>
      </c>
      <c r="C5144" s="2">
        <f>HYPERLINK("https://svao.dolgi.msk.ru/account/1760228088/", 1760228088)</f>
        <v>1760228088</v>
      </c>
      <c r="D5144">
        <v>6112.46</v>
      </c>
    </row>
    <row r="5145" spans="1:4" x14ac:dyDescent="0.25">
      <c r="A5145" t="s">
        <v>577</v>
      </c>
      <c r="B5145" t="s">
        <v>155</v>
      </c>
      <c r="C5145" s="2">
        <f>HYPERLINK("https://svao.dolgi.msk.ru/account/1760228109/", 1760228109)</f>
        <v>1760228109</v>
      </c>
      <c r="D5145">
        <v>10516.65</v>
      </c>
    </row>
    <row r="5146" spans="1:4" x14ac:dyDescent="0.25">
      <c r="A5146" t="s">
        <v>577</v>
      </c>
      <c r="B5146" t="s">
        <v>377</v>
      </c>
      <c r="C5146" s="2">
        <f>HYPERLINK("https://svao.dolgi.msk.ru/account/1760228176/", 1760228176)</f>
        <v>1760228176</v>
      </c>
      <c r="D5146">
        <v>5833.07</v>
      </c>
    </row>
    <row r="5147" spans="1:4" x14ac:dyDescent="0.25">
      <c r="A5147" t="s">
        <v>577</v>
      </c>
      <c r="B5147" t="s">
        <v>343</v>
      </c>
      <c r="C5147" s="2">
        <f>HYPERLINK("https://svao.dolgi.msk.ru/account/1760228301/", 1760228301)</f>
        <v>1760228301</v>
      </c>
      <c r="D5147">
        <v>6676.07</v>
      </c>
    </row>
    <row r="5148" spans="1:4" x14ac:dyDescent="0.25">
      <c r="A5148" t="s">
        <v>577</v>
      </c>
      <c r="B5148" t="s">
        <v>346</v>
      </c>
      <c r="C5148" s="2">
        <f>HYPERLINK("https://svao.dolgi.msk.ru/account/1760228467/", 1760228467)</f>
        <v>1760228467</v>
      </c>
      <c r="D5148">
        <v>4200.1400000000003</v>
      </c>
    </row>
    <row r="5149" spans="1:4" x14ac:dyDescent="0.25">
      <c r="A5149" t="s">
        <v>577</v>
      </c>
      <c r="B5149" t="s">
        <v>67</v>
      </c>
      <c r="C5149" s="2">
        <f>HYPERLINK("https://svao.dolgi.msk.ru/account/1760228475/", 1760228475)</f>
        <v>1760228475</v>
      </c>
      <c r="D5149">
        <v>5929.23</v>
      </c>
    </row>
    <row r="5150" spans="1:4" x14ac:dyDescent="0.25">
      <c r="A5150" t="s">
        <v>577</v>
      </c>
      <c r="B5150" t="s">
        <v>380</v>
      </c>
      <c r="C5150" s="2">
        <f>HYPERLINK("https://svao.dolgi.msk.ru/account/1760228491/", 1760228491)</f>
        <v>1760228491</v>
      </c>
      <c r="D5150">
        <v>1203.3699999999999</v>
      </c>
    </row>
    <row r="5151" spans="1:4" x14ac:dyDescent="0.25">
      <c r="A5151" t="s">
        <v>577</v>
      </c>
      <c r="B5151" t="s">
        <v>439</v>
      </c>
      <c r="C5151" s="2">
        <f>HYPERLINK("https://svao.dolgi.msk.ru/account/1760228504/", 1760228504)</f>
        <v>1760228504</v>
      </c>
      <c r="D5151">
        <v>4253.41</v>
      </c>
    </row>
    <row r="5152" spans="1:4" x14ac:dyDescent="0.25">
      <c r="A5152" t="s">
        <v>577</v>
      </c>
      <c r="B5152" t="s">
        <v>258</v>
      </c>
      <c r="C5152" s="2">
        <f>HYPERLINK("https://svao.dolgi.msk.ru/account/1760228512/", 1760228512)</f>
        <v>1760228512</v>
      </c>
      <c r="D5152">
        <v>3372.5</v>
      </c>
    </row>
    <row r="5153" spans="1:4" x14ac:dyDescent="0.25">
      <c r="A5153" t="s">
        <v>577</v>
      </c>
      <c r="B5153" t="s">
        <v>259</v>
      </c>
      <c r="C5153" s="2">
        <f>HYPERLINK("https://svao.dolgi.msk.ru/account/1760228571/", 1760228571)</f>
        <v>1760228571</v>
      </c>
      <c r="D5153">
        <v>11661.89</v>
      </c>
    </row>
    <row r="5154" spans="1:4" x14ac:dyDescent="0.25">
      <c r="A5154" t="s">
        <v>577</v>
      </c>
      <c r="B5154" t="s">
        <v>164</v>
      </c>
      <c r="C5154" s="2">
        <f>HYPERLINK("https://svao.dolgi.msk.ru/account/1760228598/", 1760228598)</f>
        <v>1760228598</v>
      </c>
      <c r="D5154">
        <v>4760.54</v>
      </c>
    </row>
    <row r="5155" spans="1:4" x14ac:dyDescent="0.25">
      <c r="A5155" t="s">
        <v>577</v>
      </c>
      <c r="B5155" t="s">
        <v>69</v>
      </c>
      <c r="C5155" s="2">
        <f>HYPERLINK("https://svao.dolgi.msk.ru/account/1760228619/", 1760228619)</f>
        <v>1760228619</v>
      </c>
      <c r="D5155">
        <v>7059.11</v>
      </c>
    </row>
    <row r="5156" spans="1:4" x14ac:dyDescent="0.25">
      <c r="A5156" t="s">
        <v>577</v>
      </c>
      <c r="B5156" t="s">
        <v>70</v>
      </c>
      <c r="C5156" s="2">
        <f>HYPERLINK("https://svao.dolgi.msk.ru/account/1760228635/", 1760228635)</f>
        <v>1760228635</v>
      </c>
      <c r="D5156">
        <v>1066.06</v>
      </c>
    </row>
    <row r="5157" spans="1:4" x14ac:dyDescent="0.25">
      <c r="A5157" t="s">
        <v>577</v>
      </c>
      <c r="B5157" t="s">
        <v>454</v>
      </c>
      <c r="C5157" s="2">
        <f>HYPERLINK("https://svao.dolgi.msk.ru/account/1760228766/", 1760228766)</f>
        <v>1760228766</v>
      </c>
      <c r="D5157">
        <v>4028.28</v>
      </c>
    </row>
    <row r="5158" spans="1:4" x14ac:dyDescent="0.25">
      <c r="A5158" t="s">
        <v>578</v>
      </c>
      <c r="B5158" t="s">
        <v>168</v>
      </c>
      <c r="C5158" s="2">
        <f>HYPERLINK("https://svao.dolgi.msk.ru/account/1761811574/", 1761811574)</f>
        <v>1761811574</v>
      </c>
      <c r="D5158">
        <v>4200.54</v>
      </c>
    </row>
    <row r="5159" spans="1:4" x14ac:dyDescent="0.25">
      <c r="A5159" t="s">
        <v>578</v>
      </c>
      <c r="B5159" t="s">
        <v>419</v>
      </c>
      <c r="C5159" s="2">
        <f>HYPERLINK("https://svao.dolgi.msk.ru/account/1761811339/", 1761811339)</f>
        <v>1761811339</v>
      </c>
      <c r="D5159">
        <v>1917.6</v>
      </c>
    </row>
    <row r="5160" spans="1:4" x14ac:dyDescent="0.25">
      <c r="A5160" t="s">
        <v>578</v>
      </c>
      <c r="B5160" t="s">
        <v>263</v>
      </c>
      <c r="C5160" s="2">
        <f>HYPERLINK("https://svao.dolgi.msk.ru/account/1768006981/", 1768006981)</f>
        <v>1768006981</v>
      </c>
      <c r="D5160">
        <v>678.64</v>
      </c>
    </row>
    <row r="5161" spans="1:4" x14ac:dyDescent="0.25">
      <c r="A5161" t="s">
        <v>578</v>
      </c>
      <c r="B5161" t="s">
        <v>264</v>
      </c>
      <c r="C5161" s="2">
        <f>HYPERLINK("https://svao.dolgi.msk.ru/account/1761811646/", 1761811646)</f>
        <v>1761811646</v>
      </c>
      <c r="D5161">
        <v>2787.63</v>
      </c>
    </row>
    <row r="5162" spans="1:4" x14ac:dyDescent="0.25">
      <c r="A5162" t="s">
        <v>578</v>
      </c>
      <c r="B5162" t="s">
        <v>349</v>
      </c>
      <c r="C5162" s="2">
        <f>HYPERLINK("https://svao.dolgi.msk.ru/account/1768017904/", 1768017904)</f>
        <v>1768017904</v>
      </c>
      <c r="D5162">
        <v>135.41999999999999</v>
      </c>
    </row>
    <row r="5163" spans="1:4" x14ac:dyDescent="0.25">
      <c r="A5163" t="s">
        <v>578</v>
      </c>
      <c r="B5163" t="s">
        <v>173</v>
      </c>
      <c r="C5163" s="2">
        <f>HYPERLINK("https://svao.dolgi.msk.ru/account/1761811902/", 1761811902)</f>
        <v>1761811902</v>
      </c>
      <c r="D5163">
        <v>8976.33</v>
      </c>
    </row>
    <row r="5164" spans="1:4" x14ac:dyDescent="0.25">
      <c r="A5164" t="s">
        <v>578</v>
      </c>
      <c r="B5164" t="s">
        <v>173</v>
      </c>
      <c r="C5164" s="2">
        <f>HYPERLINK("https://svao.dolgi.msk.ru/account/1768007095/", 1768007095)</f>
        <v>1768007095</v>
      </c>
      <c r="D5164">
        <v>1835.83</v>
      </c>
    </row>
    <row r="5165" spans="1:4" x14ac:dyDescent="0.25">
      <c r="A5165" t="s">
        <v>578</v>
      </c>
      <c r="B5165" t="s">
        <v>350</v>
      </c>
      <c r="C5165" s="2">
        <f>HYPERLINK("https://svao.dolgi.msk.ru/account/1761812147/", 1761812147)</f>
        <v>1761812147</v>
      </c>
      <c r="D5165">
        <v>5697.92</v>
      </c>
    </row>
    <row r="5166" spans="1:4" x14ac:dyDescent="0.25">
      <c r="A5166" t="s">
        <v>578</v>
      </c>
      <c r="B5166" t="s">
        <v>533</v>
      </c>
      <c r="C5166" s="2">
        <f>HYPERLINK("https://svao.dolgi.msk.ru/account/1761812171/", 1761812171)</f>
        <v>1761812171</v>
      </c>
      <c r="D5166">
        <v>5273.42</v>
      </c>
    </row>
    <row r="5167" spans="1:4" x14ac:dyDescent="0.25">
      <c r="A5167" t="s">
        <v>578</v>
      </c>
      <c r="B5167" t="s">
        <v>533</v>
      </c>
      <c r="C5167" s="2">
        <f>HYPERLINK("https://svao.dolgi.msk.ru/account/1768018034/", 1768018034)</f>
        <v>1768018034</v>
      </c>
      <c r="D5167">
        <v>2547.1999999999998</v>
      </c>
    </row>
    <row r="5168" spans="1:4" x14ac:dyDescent="0.25">
      <c r="A5168" t="s">
        <v>578</v>
      </c>
      <c r="B5168" t="s">
        <v>177</v>
      </c>
      <c r="C5168" s="2">
        <f>HYPERLINK("https://svao.dolgi.msk.ru/account/1761811718/", 1761811718)</f>
        <v>1761811718</v>
      </c>
      <c r="D5168">
        <v>20911.05</v>
      </c>
    </row>
    <row r="5169" spans="1:4" x14ac:dyDescent="0.25">
      <c r="A5169" t="s">
        <v>578</v>
      </c>
      <c r="B5169" t="s">
        <v>504</v>
      </c>
      <c r="C5169" s="2">
        <f>HYPERLINK("https://svao.dolgi.msk.ru/account/1761811398/", 1761811398)</f>
        <v>1761811398</v>
      </c>
      <c r="D5169">
        <v>2450.96</v>
      </c>
    </row>
    <row r="5170" spans="1:4" x14ac:dyDescent="0.25">
      <c r="A5170" t="s">
        <v>578</v>
      </c>
      <c r="B5170" t="s">
        <v>487</v>
      </c>
      <c r="C5170" s="2">
        <f>HYPERLINK("https://svao.dolgi.msk.ru/account/1761811611/", 1761811611)</f>
        <v>1761811611</v>
      </c>
      <c r="D5170">
        <v>3035.4</v>
      </c>
    </row>
    <row r="5171" spans="1:4" x14ac:dyDescent="0.25">
      <c r="A5171" t="s">
        <v>578</v>
      </c>
      <c r="B5171" t="s">
        <v>270</v>
      </c>
      <c r="C5171" s="2">
        <f>HYPERLINK("https://svao.dolgi.msk.ru/account/1761811435/", 1761811435)</f>
        <v>1761811435</v>
      </c>
      <c r="D5171">
        <v>2801.85</v>
      </c>
    </row>
    <row r="5172" spans="1:4" x14ac:dyDescent="0.25">
      <c r="A5172" t="s">
        <v>578</v>
      </c>
      <c r="B5172" t="s">
        <v>272</v>
      </c>
      <c r="C5172" s="2">
        <f>HYPERLINK("https://svao.dolgi.msk.ru/account/1761811654/", 1761811654)</f>
        <v>1761811654</v>
      </c>
      <c r="D5172">
        <v>22283.06</v>
      </c>
    </row>
    <row r="5173" spans="1:4" x14ac:dyDescent="0.25">
      <c r="A5173" t="s">
        <v>578</v>
      </c>
      <c r="B5173" t="s">
        <v>272</v>
      </c>
      <c r="C5173" s="2">
        <f>HYPERLINK("https://svao.dolgi.msk.ru/account/1768018149/", 1768018149)</f>
        <v>1768018149</v>
      </c>
      <c r="D5173">
        <v>186707.41</v>
      </c>
    </row>
    <row r="5174" spans="1:4" x14ac:dyDescent="0.25">
      <c r="A5174" t="s">
        <v>578</v>
      </c>
      <c r="B5174" t="s">
        <v>437</v>
      </c>
      <c r="C5174" s="2">
        <f>HYPERLINK("https://svao.dolgi.msk.ru/account/1761812104/", 1761812104)</f>
        <v>1761812104</v>
      </c>
      <c r="D5174">
        <v>308.69</v>
      </c>
    </row>
    <row r="5175" spans="1:4" x14ac:dyDescent="0.25">
      <c r="A5175" t="s">
        <v>578</v>
      </c>
      <c r="B5175" t="s">
        <v>354</v>
      </c>
      <c r="C5175" s="2">
        <f>HYPERLINK("https://svao.dolgi.msk.ru/account/1761811486/", 1761811486)</f>
        <v>1761811486</v>
      </c>
      <c r="D5175">
        <v>1897.2</v>
      </c>
    </row>
    <row r="5176" spans="1:4" x14ac:dyDescent="0.25">
      <c r="A5176" t="s">
        <v>578</v>
      </c>
      <c r="B5176" t="s">
        <v>354</v>
      </c>
      <c r="C5176" s="2">
        <f>HYPERLINK("https://svao.dolgi.msk.ru/account/1768018261/", 1768018261)</f>
        <v>1768018261</v>
      </c>
      <c r="D5176">
        <v>286.83</v>
      </c>
    </row>
    <row r="5177" spans="1:4" x14ac:dyDescent="0.25">
      <c r="A5177" t="s">
        <v>578</v>
      </c>
      <c r="B5177" t="s">
        <v>355</v>
      </c>
      <c r="C5177" s="2">
        <f>HYPERLINK("https://svao.dolgi.msk.ru/account/1761811849/", 1761811849)</f>
        <v>1761811849</v>
      </c>
      <c r="D5177">
        <v>2829.56</v>
      </c>
    </row>
    <row r="5178" spans="1:4" x14ac:dyDescent="0.25">
      <c r="A5178" t="s">
        <v>578</v>
      </c>
      <c r="B5178" t="s">
        <v>356</v>
      </c>
      <c r="C5178" s="2">
        <f>HYPERLINK("https://svao.dolgi.msk.ru/account/1761811814/", 1761811814)</f>
        <v>1761811814</v>
      </c>
      <c r="D5178">
        <v>862.26</v>
      </c>
    </row>
    <row r="5179" spans="1:4" x14ac:dyDescent="0.25">
      <c r="A5179" t="s">
        <v>578</v>
      </c>
      <c r="B5179" t="s">
        <v>421</v>
      </c>
      <c r="C5179" s="2">
        <f>HYPERLINK("https://svao.dolgi.msk.ru/account/1761812219/", 1761812219)</f>
        <v>1761812219</v>
      </c>
      <c r="D5179">
        <v>397.7</v>
      </c>
    </row>
    <row r="5180" spans="1:4" x14ac:dyDescent="0.25">
      <c r="A5180" t="s">
        <v>578</v>
      </c>
      <c r="B5180" t="s">
        <v>277</v>
      </c>
      <c r="C5180" s="2">
        <f>HYPERLINK("https://svao.dolgi.msk.ru/account/1768018341/", 1768018341)</f>
        <v>1768018341</v>
      </c>
      <c r="D5180">
        <v>838.1</v>
      </c>
    </row>
    <row r="5181" spans="1:4" x14ac:dyDescent="0.25">
      <c r="A5181" t="s">
        <v>578</v>
      </c>
      <c r="B5181" t="s">
        <v>183</v>
      </c>
      <c r="C5181" s="2">
        <f>HYPERLINK("https://svao.dolgi.msk.ru/account/1761812091/", 1761812091)</f>
        <v>1761812091</v>
      </c>
      <c r="D5181">
        <v>5047.08</v>
      </c>
    </row>
    <row r="5182" spans="1:4" x14ac:dyDescent="0.25">
      <c r="A5182" t="s">
        <v>578</v>
      </c>
      <c r="B5182" t="s">
        <v>183</v>
      </c>
      <c r="C5182" s="2">
        <f>HYPERLINK("https://svao.dolgi.msk.ru/account/1768018368/", 1768018368)</f>
        <v>1768018368</v>
      </c>
      <c r="D5182">
        <v>4125.17</v>
      </c>
    </row>
    <row r="5183" spans="1:4" x14ac:dyDescent="0.25">
      <c r="A5183" t="s">
        <v>578</v>
      </c>
      <c r="B5183" t="s">
        <v>184</v>
      </c>
      <c r="C5183" s="2">
        <f>HYPERLINK("https://svao.dolgi.msk.ru/account/1761811726/", 1761811726)</f>
        <v>1761811726</v>
      </c>
      <c r="D5183">
        <v>9353.76</v>
      </c>
    </row>
    <row r="5184" spans="1:4" x14ac:dyDescent="0.25">
      <c r="A5184" t="s">
        <v>578</v>
      </c>
      <c r="B5184" t="s">
        <v>185</v>
      </c>
      <c r="C5184" s="2">
        <f>HYPERLINK("https://svao.dolgi.msk.ru/account/1761811419/", 1761811419)</f>
        <v>1761811419</v>
      </c>
      <c r="D5184">
        <v>4981.3999999999996</v>
      </c>
    </row>
    <row r="5185" spans="1:4" x14ac:dyDescent="0.25">
      <c r="A5185" t="s">
        <v>578</v>
      </c>
      <c r="B5185" t="s">
        <v>186</v>
      </c>
      <c r="C5185" s="2">
        <f>HYPERLINK("https://svao.dolgi.msk.ru/account/1761811777/", 1761811777)</f>
        <v>1761811777</v>
      </c>
      <c r="D5185">
        <v>8031.12</v>
      </c>
    </row>
    <row r="5186" spans="1:4" x14ac:dyDescent="0.25">
      <c r="A5186" t="s">
        <v>578</v>
      </c>
      <c r="B5186" t="s">
        <v>505</v>
      </c>
      <c r="C5186" s="2">
        <f>HYPERLINK("https://svao.dolgi.msk.ru/account/1761812139/", 1761812139)</f>
        <v>1761812139</v>
      </c>
      <c r="D5186">
        <v>5145.58</v>
      </c>
    </row>
    <row r="5187" spans="1:4" x14ac:dyDescent="0.25">
      <c r="A5187" t="s">
        <v>578</v>
      </c>
      <c r="B5187" t="s">
        <v>506</v>
      </c>
      <c r="C5187" s="2">
        <f>HYPERLINK("https://svao.dolgi.msk.ru/account/1761811806/", 1761811806)</f>
        <v>1761811806</v>
      </c>
      <c r="D5187">
        <v>5265.33</v>
      </c>
    </row>
    <row r="5188" spans="1:4" x14ac:dyDescent="0.25">
      <c r="A5188" t="s">
        <v>578</v>
      </c>
      <c r="B5188" t="s">
        <v>359</v>
      </c>
      <c r="C5188" s="2">
        <f>HYPERLINK("https://svao.dolgi.msk.ru/account/1761811734/", 1761811734)</f>
        <v>1761811734</v>
      </c>
      <c r="D5188">
        <v>2139.14</v>
      </c>
    </row>
    <row r="5189" spans="1:4" x14ac:dyDescent="0.25">
      <c r="A5189" t="s">
        <v>578</v>
      </c>
      <c r="B5189" t="s">
        <v>539</v>
      </c>
      <c r="C5189" s="2">
        <f>HYPERLINK("https://svao.dolgi.msk.ru/account/1761812227/", 1761812227)</f>
        <v>1761812227</v>
      </c>
      <c r="D5189">
        <v>1827.77</v>
      </c>
    </row>
    <row r="5190" spans="1:4" x14ac:dyDescent="0.25">
      <c r="A5190" t="s">
        <v>578</v>
      </c>
      <c r="B5190" t="s">
        <v>280</v>
      </c>
      <c r="C5190" s="2">
        <f>HYPERLINK("https://svao.dolgi.msk.ru/account/1761812243/", 1761812243)</f>
        <v>1761812243</v>
      </c>
      <c r="D5190">
        <v>11057.48</v>
      </c>
    </row>
    <row r="5191" spans="1:4" x14ac:dyDescent="0.25">
      <c r="A5191" t="s">
        <v>579</v>
      </c>
      <c r="B5191" t="s">
        <v>101</v>
      </c>
      <c r="C5191" s="2">
        <f>HYPERLINK("https://svao.dolgi.msk.ru/account/1760231463/", 1760231463)</f>
        <v>1760231463</v>
      </c>
      <c r="D5191">
        <v>4108.1400000000003</v>
      </c>
    </row>
    <row r="5192" spans="1:4" x14ac:dyDescent="0.25">
      <c r="A5192" t="s">
        <v>579</v>
      </c>
      <c r="B5192" t="s">
        <v>103</v>
      </c>
      <c r="C5192" s="2">
        <f>HYPERLINK("https://svao.dolgi.msk.ru/account/1760231519/", 1760231519)</f>
        <v>1760231519</v>
      </c>
      <c r="D5192">
        <v>14054.42</v>
      </c>
    </row>
    <row r="5193" spans="1:4" x14ac:dyDescent="0.25">
      <c r="A5193" t="s">
        <v>579</v>
      </c>
      <c r="B5193" t="s">
        <v>74</v>
      </c>
      <c r="C5193" s="2">
        <f>HYPERLINK("https://svao.dolgi.msk.ru/account/1760231551/", 1760231551)</f>
        <v>1760231551</v>
      </c>
      <c r="D5193">
        <v>5156.51</v>
      </c>
    </row>
    <row r="5194" spans="1:4" x14ac:dyDescent="0.25">
      <c r="A5194" t="s">
        <v>579</v>
      </c>
      <c r="B5194" t="s">
        <v>9</v>
      </c>
      <c r="C5194" s="2">
        <f>HYPERLINK("https://svao.dolgi.msk.ru/account/1760231586/", 1760231586)</f>
        <v>1760231586</v>
      </c>
      <c r="D5194">
        <v>4128.62</v>
      </c>
    </row>
    <row r="5195" spans="1:4" x14ac:dyDescent="0.25">
      <c r="A5195" t="s">
        <v>579</v>
      </c>
      <c r="B5195" t="s">
        <v>219</v>
      </c>
      <c r="C5195" s="2">
        <f>HYPERLINK("https://svao.dolgi.msk.ru/account/1760231623/", 1760231623)</f>
        <v>1760231623</v>
      </c>
      <c r="D5195">
        <v>4965.47</v>
      </c>
    </row>
    <row r="5196" spans="1:4" x14ac:dyDescent="0.25">
      <c r="A5196" t="s">
        <v>579</v>
      </c>
      <c r="B5196" t="s">
        <v>12</v>
      </c>
      <c r="C5196" s="2">
        <f>HYPERLINK("https://svao.dolgi.msk.ru/account/1760231658/", 1760231658)</f>
        <v>1760231658</v>
      </c>
      <c r="D5196">
        <v>131492.19</v>
      </c>
    </row>
    <row r="5197" spans="1:4" x14ac:dyDescent="0.25">
      <c r="A5197" t="s">
        <v>579</v>
      </c>
      <c r="B5197" t="s">
        <v>15</v>
      </c>
      <c r="C5197" s="2">
        <f>HYPERLINK("https://svao.dolgi.msk.ru/account/1760231711/", 1760231711)</f>
        <v>1760231711</v>
      </c>
      <c r="D5197">
        <v>3592.93</v>
      </c>
    </row>
    <row r="5198" spans="1:4" x14ac:dyDescent="0.25">
      <c r="A5198" t="s">
        <v>579</v>
      </c>
      <c r="B5198" t="s">
        <v>17</v>
      </c>
      <c r="C5198" s="2">
        <f>HYPERLINK("https://svao.dolgi.msk.ru/account/1760231754/", 1760231754)</f>
        <v>1760231754</v>
      </c>
      <c r="D5198">
        <v>5409.62</v>
      </c>
    </row>
    <row r="5199" spans="1:4" x14ac:dyDescent="0.25">
      <c r="A5199" t="s">
        <v>579</v>
      </c>
      <c r="B5199" t="s">
        <v>19</v>
      </c>
      <c r="C5199" s="2">
        <f>HYPERLINK("https://svao.dolgi.msk.ru/account/1760231789/", 1760231789)</f>
        <v>1760231789</v>
      </c>
      <c r="D5199">
        <v>2905.94</v>
      </c>
    </row>
    <row r="5200" spans="1:4" x14ac:dyDescent="0.25">
      <c r="A5200" t="s">
        <v>579</v>
      </c>
      <c r="B5200" t="s">
        <v>109</v>
      </c>
      <c r="C5200" s="2">
        <f>HYPERLINK("https://svao.dolgi.msk.ru/account/1760231797/", 1760231797)</f>
        <v>1760231797</v>
      </c>
      <c r="D5200">
        <v>4767.66</v>
      </c>
    </row>
    <row r="5201" spans="1:4" x14ac:dyDescent="0.25">
      <c r="A5201" t="s">
        <v>579</v>
      </c>
      <c r="B5201" t="s">
        <v>110</v>
      </c>
      <c r="C5201" s="2">
        <f>HYPERLINK("https://svao.dolgi.msk.ru/account/1760231818/", 1760231818)</f>
        <v>1760231818</v>
      </c>
      <c r="D5201">
        <v>3683.98</v>
      </c>
    </row>
    <row r="5202" spans="1:4" x14ac:dyDescent="0.25">
      <c r="A5202" t="s">
        <v>579</v>
      </c>
      <c r="B5202" t="s">
        <v>111</v>
      </c>
      <c r="C5202" s="2">
        <f>HYPERLINK("https://svao.dolgi.msk.ru/account/1760231877/", 1760231877)</f>
        <v>1760231877</v>
      </c>
      <c r="D5202">
        <v>33319.46</v>
      </c>
    </row>
    <row r="5203" spans="1:4" x14ac:dyDescent="0.25">
      <c r="A5203" t="s">
        <v>579</v>
      </c>
      <c r="B5203" t="s">
        <v>111</v>
      </c>
      <c r="C5203" s="2">
        <f>HYPERLINK("https://svao.dolgi.msk.ru/account/1761820147/", 1761820147)</f>
        <v>1761820147</v>
      </c>
      <c r="D5203">
        <v>37469.449999999997</v>
      </c>
    </row>
    <row r="5204" spans="1:4" x14ac:dyDescent="0.25">
      <c r="A5204" t="s">
        <v>579</v>
      </c>
      <c r="B5204" t="s">
        <v>111</v>
      </c>
      <c r="C5204" s="2">
        <f>HYPERLINK("https://svao.dolgi.msk.ru/account/1761820155/", 1761820155)</f>
        <v>1761820155</v>
      </c>
      <c r="D5204">
        <v>37469.449999999997</v>
      </c>
    </row>
    <row r="5205" spans="1:4" x14ac:dyDescent="0.25">
      <c r="A5205" t="s">
        <v>579</v>
      </c>
      <c r="B5205" t="s">
        <v>94</v>
      </c>
      <c r="C5205" s="2">
        <f>HYPERLINK("https://svao.dolgi.msk.ru/account/1760231885/", 1760231885)</f>
        <v>1760231885</v>
      </c>
      <c r="D5205">
        <v>4777.2</v>
      </c>
    </row>
    <row r="5206" spans="1:4" x14ac:dyDescent="0.25">
      <c r="A5206" t="s">
        <v>579</v>
      </c>
      <c r="B5206" t="s">
        <v>113</v>
      </c>
      <c r="C5206" s="2">
        <f>HYPERLINK("https://svao.dolgi.msk.ru/account/1760231906/", 1760231906)</f>
        <v>1760231906</v>
      </c>
      <c r="D5206">
        <v>6031.24</v>
      </c>
    </row>
    <row r="5207" spans="1:4" x14ac:dyDescent="0.25">
      <c r="A5207" t="s">
        <v>579</v>
      </c>
      <c r="B5207" t="s">
        <v>21</v>
      </c>
      <c r="C5207" s="2">
        <f>HYPERLINK("https://svao.dolgi.msk.ru/account/1760231914/", 1760231914)</f>
        <v>1760231914</v>
      </c>
      <c r="D5207">
        <v>120673.60000000001</v>
      </c>
    </row>
    <row r="5208" spans="1:4" x14ac:dyDescent="0.25">
      <c r="A5208" t="s">
        <v>579</v>
      </c>
      <c r="B5208" t="s">
        <v>23</v>
      </c>
      <c r="C5208" s="2">
        <f>HYPERLINK("https://svao.dolgi.msk.ru/account/1760231981/", 1760231981)</f>
        <v>1760231981</v>
      </c>
      <c r="D5208">
        <v>10069.879999999999</v>
      </c>
    </row>
    <row r="5209" spans="1:4" x14ac:dyDescent="0.25">
      <c r="A5209" t="s">
        <v>579</v>
      </c>
      <c r="B5209" t="s">
        <v>125</v>
      </c>
      <c r="C5209" s="2">
        <f>HYPERLINK("https://svao.dolgi.msk.ru/account/1760232116/", 1760232116)</f>
        <v>1760232116</v>
      </c>
      <c r="D5209">
        <v>3973.1</v>
      </c>
    </row>
    <row r="5210" spans="1:4" x14ac:dyDescent="0.25">
      <c r="A5210" t="s">
        <v>579</v>
      </c>
      <c r="B5210" t="s">
        <v>118</v>
      </c>
      <c r="C5210" s="2">
        <f>HYPERLINK("https://svao.dolgi.msk.ru/account/1760232159/", 1760232159)</f>
        <v>1760232159</v>
      </c>
      <c r="D5210">
        <v>5633.73</v>
      </c>
    </row>
    <row r="5211" spans="1:4" x14ac:dyDescent="0.25">
      <c r="A5211" t="s">
        <v>579</v>
      </c>
      <c r="B5211" t="s">
        <v>290</v>
      </c>
      <c r="C5211" s="2">
        <f>HYPERLINK("https://svao.dolgi.msk.ru/account/1760232327/", 1760232327)</f>
        <v>1760232327</v>
      </c>
      <c r="D5211">
        <v>1220.03</v>
      </c>
    </row>
    <row r="5212" spans="1:4" x14ac:dyDescent="0.25">
      <c r="A5212" t="s">
        <v>579</v>
      </c>
      <c r="B5212" t="s">
        <v>28</v>
      </c>
      <c r="C5212" s="2">
        <f>HYPERLINK("https://svao.dolgi.msk.ru/account/1760232386/", 1760232386)</f>
        <v>1760232386</v>
      </c>
      <c r="D5212">
        <v>8268.0300000000007</v>
      </c>
    </row>
    <row r="5213" spans="1:4" x14ac:dyDescent="0.25">
      <c r="A5213" t="s">
        <v>579</v>
      </c>
      <c r="B5213" t="s">
        <v>129</v>
      </c>
      <c r="C5213" s="2">
        <f>HYPERLINK("https://svao.dolgi.msk.ru/account/1760232415/", 1760232415)</f>
        <v>1760232415</v>
      </c>
      <c r="D5213">
        <v>4552.05</v>
      </c>
    </row>
    <row r="5214" spans="1:4" x14ac:dyDescent="0.25">
      <c r="A5214" t="s">
        <v>579</v>
      </c>
      <c r="B5214" t="s">
        <v>30</v>
      </c>
      <c r="C5214" s="2">
        <f>HYPERLINK("https://svao.dolgi.msk.ru/account/1760232423/", 1760232423)</f>
        <v>1760232423</v>
      </c>
      <c r="D5214">
        <v>3111.64</v>
      </c>
    </row>
    <row r="5215" spans="1:4" x14ac:dyDescent="0.25">
      <c r="A5215" t="s">
        <v>579</v>
      </c>
      <c r="B5215" t="s">
        <v>85</v>
      </c>
      <c r="C5215" s="2">
        <f>HYPERLINK("https://svao.dolgi.msk.ru/account/1760232538/", 1760232538)</f>
        <v>1760232538</v>
      </c>
      <c r="D5215">
        <v>6754.51</v>
      </c>
    </row>
    <row r="5216" spans="1:4" x14ac:dyDescent="0.25">
      <c r="A5216" t="s">
        <v>579</v>
      </c>
      <c r="B5216" t="s">
        <v>34</v>
      </c>
      <c r="C5216" s="2">
        <f>HYPERLINK("https://svao.dolgi.msk.ru/account/1760232554/", 1760232554)</f>
        <v>1760232554</v>
      </c>
      <c r="D5216">
        <v>3339.6</v>
      </c>
    </row>
    <row r="5217" spans="1:4" x14ac:dyDescent="0.25">
      <c r="A5217" t="s">
        <v>579</v>
      </c>
      <c r="B5217" t="s">
        <v>35</v>
      </c>
      <c r="C5217" s="2">
        <f>HYPERLINK("https://svao.dolgi.msk.ru/account/1760232562/", 1760232562)</f>
        <v>1760232562</v>
      </c>
      <c r="D5217">
        <v>3048.27</v>
      </c>
    </row>
    <row r="5218" spans="1:4" x14ac:dyDescent="0.25">
      <c r="A5218" t="s">
        <v>579</v>
      </c>
      <c r="B5218" t="s">
        <v>40</v>
      </c>
      <c r="C5218" s="2">
        <f>HYPERLINK("https://svao.dolgi.msk.ru/account/1760232722/", 1760232722)</f>
        <v>1760232722</v>
      </c>
      <c r="D5218">
        <v>858.33</v>
      </c>
    </row>
    <row r="5219" spans="1:4" x14ac:dyDescent="0.25">
      <c r="A5219" t="s">
        <v>579</v>
      </c>
      <c r="B5219" t="s">
        <v>43</v>
      </c>
      <c r="C5219" s="2">
        <f>HYPERLINK("https://svao.dolgi.msk.ru/account/1760232749/", 1760232749)</f>
        <v>1760232749</v>
      </c>
      <c r="D5219">
        <v>14631.02</v>
      </c>
    </row>
    <row r="5220" spans="1:4" x14ac:dyDescent="0.25">
      <c r="A5220" t="s">
        <v>579</v>
      </c>
      <c r="B5220" t="s">
        <v>46</v>
      </c>
      <c r="C5220" s="2">
        <f>HYPERLINK("https://svao.dolgi.msk.ru/account/1760232909/", 1760232909)</f>
        <v>1760232909</v>
      </c>
      <c r="D5220">
        <v>4666.6400000000003</v>
      </c>
    </row>
    <row r="5221" spans="1:4" x14ac:dyDescent="0.25">
      <c r="A5221" t="s">
        <v>579</v>
      </c>
      <c r="B5221" t="s">
        <v>250</v>
      </c>
      <c r="C5221" s="2">
        <f>HYPERLINK("https://svao.dolgi.msk.ru/account/1760232941/", 1760232941)</f>
        <v>1760232941</v>
      </c>
      <c r="D5221">
        <v>3481.31</v>
      </c>
    </row>
    <row r="5222" spans="1:4" x14ac:dyDescent="0.25">
      <c r="A5222" t="s">
        <v>579</v>
      </c>
      <c r="B5222" t="s">
        <v>48</v>
      </c>
      <c r="C5222" s="2">
        <f>HYPERLINK("https://svao.dolgi.msk.ru/account/1760232976/", 1760232976)</f>
        <v>1760232976</v>
      </c>
      <c r="D5222">
        <v>462626</v>
      </c>
    </row>
    <row r="5223" spans="1:4" x14ac:dyDescent="0.25">
      <c r="A5223" t="s">
        <v>579</v>
      </c>
      <c r="B5223" t="s">
        <v>49</v>
      </c>
      <c r="C5223" s="2">
        <f>HYPERLINK("https://svao.dolgi.msk.ru/account/1760232984/", 1760232984)</f>
        <v>1760232984</v>
      </c>
      <c r="D5223">
        <v>1402.95</v>
      </c>
    </row>
    <row r="5224" spans="1:4" x14ac:dyDescent="0.25">
      <c r="A5224" t="s">
        <v>579</v>
      </c>
      <c r="B5224" t="s">
        <v>147</v>
      </c>
      <c r="C5224" s="2">
        <f>HYPERLINK("https://svao.dolgi.msk.ru/account/1760233004/", 1760233004)</f>
        <v>1760233004</v>
      </c>
      <c r="D5224">
        <v>2666.72</v>
      </c>
    </row>
    <row r="5225" spans="1:4" x14ac:dyDescent="0.25">
      <c r="A5225" t="s">
        <v>579</v>
      </c>
      <c r="B5225" t="s">
        <v>252</v>
      </c>
      <c r="C5225" s="2">
        <f>HYPERLINK("https://svao.dolgi.msk.ru/account/1760233039/", 1760233039)</f>
        <v>1760233039</v>
      </c>
      <c r="D5225">
        <v>3488.26</v>
      </c>
    </row>
    <row r="5226" spans="1:4" x14ac:dyDescent="0.25">
      <c r="A5226" t="s">
        <v>579</v>
      </c>
      <c r="B5226" t="s">
        <v>306</v>
      </c>
      <c r="C5226" s="2">
        <f>HYPERLINK("https://svao.dolgi.msk.ru/account/1760233047/", 1760233047)</f>
        <v>1760233047</v>
      </c>
      <c r="D5226">
        <v>3988.22</v>
      </c>
    </row>
    <row r="5227" spans="1:4" x14ac:dyDescent="0.25">
      <c r="A5227" t="s">
        <v>579</v>
      </c>
      <c r="B5227" t="s">
        <v>331</v>
      </c>
      <c r="C5227" s="2">
        <f>HYPERLINK("https://svao.dolgi.msk.ru/account/1760233098/", 1760233098)</f>
        <v>1760233098</v>
      </c>
      <c r="D5227">
        <v>2032.11</v>
      </c>
    </row>
    <row r="5228" spans="1:4" x14ac:dyDescent="0.25">
      <c r="A5228" t="s">
        <v>579</v>
      </c>
      <c r="B5228" t="s">
        <v>52</v>
      </c>
      <c r="C5228" s="2">
        <f>HYPERLINK("https://svao.dolgi.msk.ru/account/1760233119/", 1760233119)</f>
        <v>1760233119</v>
      </c>
      <c r="D5228">
        <v>317932.67</v>
      </c>
    </row>
    <row r="5229" spans="1:4" x14ac:dyDescent="0.25">
      <c r="A5229" t="s">
        <v>579</v>
      </c>
      <c r="B5229" t="s">
        <v>316</v>
      </c>
      <c r="C5229" s="2">
        <f>HYPERLINK("https://svao.dolgi.msk.ru/account/1760233127/", 1760233127)</f>
        <v>1760233127</v>
      </c>
      <c r="D5229">
        <v>212591.15</v>
      </c>
    </row>
    <row r="5230" spans="1:4" x14ac:dyDescent="0.25">
      <c r="A5230" t="s">
        <v>579</v>
      </c>
      <c r="B5230" t="s">
        <v>295</v>
      </c>
      <c r="C5230" s="2">
        <f>HYPERLINK("https://svao.dolgi.msk.ru/account/1760233143/", 1760233143)</f>
        <v>1760233143</v>
      </c>
      <c r="D5230">
        <v>25222.48</v>
      </c>
    </row>
    <row r="5231" spans="1:4" x14ac:dyDescent="0.25">
      <c r="A5231" t="s">
        <v>579</v>
      </c>
      <c r="B5231" t="s">
        <v>150</v>
      </c>
      <c r="C5231" s="2">
        <f>HYPERLINK("https://svao.dolgi.msk.ru/account/1760233186/", 1760233186)</f>
        <v>1760233186</v>
      </c>
      <c r="D5231">
        <v>1190.3</v>
      </c>
    </row>
    <row r="5232" spans="1:4" x14ac:dyDescent="0.25">
      <c r="A5232" t="s">
        <v>579</v>
      </c>
      <c r="B5232" t="s">
        <v>151</v>
      </c>
      <c r="C5232" s="2">
        <f>HYPERLINK("https://svao.dolgi.msk.ru/account/1760233194/", 1760233194)</f>
        <v>1760233194</v>
      </c>
      <c r="D5232">
        <v>381.35</v>
      </c>
    </row>
    <row r="5233" spans="1:4" x14ac:dyDescent="0.25">
      <c r="A5233" t="s">
        <v>579</v>
      </c>
      <c r="B5233" t="s">
        <v>296</v>
      </c>
      <c r="C5233" s="2">
        <f>HYPERLINK("https://svao.dolgi.msk.ru/account/1760233207/", 1760233207)</f>
        <v>1760233207</v>
      </c>
      <c r="D5233">
        <v>3596.26</v>
      </c>
    </row>
    <row r="5234" spans="1:4" x14ac:dyDescent="0.25">
      <c r="A5234" t="s">
        <v>579</v>
      </c>
      <c r="B5234" t="s">
        <v>152</v>
      </c>
      <c r="C5234" s="2">
        <f>HYPERLINK("https://svao.dolgi.msk.ru/account/1760233215/", 1760233215)</f>
        <v>1760233215</v>
      </c>
      <c r="D5234">
        <v>4631.0200000000004</v>
      </c>
    </row>
    <row r="5235" spans="1:4" x14ac:dyDescent="0.25">
      <c r="A5235" t="s">
        <v>579</v>
      </c>
      <c r="B5235" t="s">
        <v>317</v>
      </c>
      <c r="C5235" s="2">
        <f>HYPERLINK("https://svao.dolgi.msk.ru/account/1760233223/", 1760233223)</f>
        <v>1760233223</v>
      </c>
      <c r="D5235">
        <v>9480.32</v>
      </c>
    </row>
    <row r="5236" spans="1:4" x14ac:dyDescent="0.25">
      <c r="A5236" t="s">
        <v>579</v>
      </c>
      <c r="B5236" t="s">
        <v>428</v>
      </c>
      <c r="C5236" s="2">
        <f>HYPERLINK("https://svao.dolgi.msk.ru/account/1760233274/", 1760233274)</f>
        <v>1760233274</v>
      </c>
      <c r="D5236">
        <v>28088.73</v>
      </c>
    </row>
    <row r="5237" spans="1:4" x14ac:dyDescent="0.25">
      <c r="A5237" t="s">
        <v>579</v>
      </c>
      <c r="B5237" t="s">
        <v>308</v>
      </c>
      <c r="C5237" s="2">
        <f>HYPERLINK("https://svao.dolgi.msk.ru/account/1760233282/", 1760233282)</f>
        <v>1760233282</v>
      </c>
      <c r="D5237">
        <v>8738.7800000000007</v>
      </c>
    </row>
    <row r="5238" spans="1:4" x14ac:dyDescent="0.25">
      <c r="A5238" t="s">
        <v>579</v>
      </c>
      <c r="B5238" t="s">
        <v>309</v>
      </c>
      <c r="C5238" s="2">
        <f>HYPERLINK("https://svao.dolgi.msk.ru/account/1760233303/", 1760233303)</f>
        <v>1760233303</v>
      </c>
      <c r="D5238">
        <v>7336.69</v>
      </c>
    </row>
    <row r="5239" spans="1:4" x14ac:dyDescent="0.25">
      <c r="A5239" t="s">
        <v>579</v>
      </c>
      <c r="B5239" t="s">
        <v>255</v>
      </c>
      <c r="C5239" s="2">
        <f>HYPERLINK("https://svao.dolgi.msk.ru/account/1760233346/", 1760233346)</f>
        <v>1760233346</v>
      </c>
      <c r="D5239">
        <v>7521.05</v>
      </c>
    </row>
    <row r="5240" spans="1:4" x14ac:dyDescent="0.25">
      <c r="A5240" t="s">
        <v>579</v>
      </c>
      <c r="B5240" t="s">
        <v>297</v>
      </c>
      <c r="C5240" s="2">
        <f>HYPERLINK("https://svao.dolgi.msk.ru/account/1760233362/", 1760233362)</f>
        <v>1760233362</v>
      </c>
      <c r="D5240">
        <v>8350.5</v>
      </c>
    </row>
    <row r="5241" spans="1:4" x14ac:dyDescent="0.25">
      <c r="A5241" t="s">
        <v>579</v>
      </c>
      <c r="B5241" t="s">
        <v>298</v>
      </c>
      <c r="C5241" s="2">
        <f>HYPERLINK("https://svao.dolgi.msk.ru/account/1760233389/", 1760233389)</f>
        <v>1760233389</v>
      </c>
      <c r="D5241">
        <v>4790.3</v>
      </c>
    </row>
    <row r="5242" spans="1:4" x14ac:dyDescent="0.25">
      <c r="A5242" t="s">
        <v>579</v>
      </c>
      <c r="B5242" t="s">
        <v>56</v>
      </c>
      <c r="C5242" s="2">
        <f>HYPERLINK("https://svao.dolgi.msk.ru/account/1760233426/", 1760233426)</f>
        <v>1760233426</v>
      </c>
      <c r="D5242">
        <v>6665.48</v>
      </c>
    </row>
    <row r="5243" spans="1:4" x14ac:dyDescent="0.25">
      <c r="A5243" t="s">
        <v>579</v>
      </c>
      <c r="B5243" t="s">
        <v>155</v>
      </c>
      <c r="C5243" s="2">
        <f>HYPERLINK("https://svao.dolgi.msk.ru/account/1760233485/", 1760233485)</f>
        <v>1760233485</v>
      </c>
      <c r="D5243">
        <v>4256.62</v>
      </c>
    </row>
    <row r="5244" spans="1:4" x14ac:dyDescent="0.25">
      <c r="A5244" t="s">
        <v>579</v>
      </c>
      <c r="B5244" t="s">
        <v>156</v>
      </c>
      <c r="C5244" s="2">
        <f>HYPERLINK("https://svao.dolgi.msk.ru/account/1760233493/", 1760233493)</f>
        <v>1760233493</v>
      </c>
      <c r="D5244">
        <v>3418.75</v>
      </c>
    </row>
    <row r="5245" spans="1:4" x14ac:dyDescent="0.25">
      <c r="A5245" t="s">
        <v>579</v>
      </c>
      <c r="B5245" t="s">
        <v>341</v>
      </c>
      <c r="C5245" s="2">
        <f>HYPERLINK("https://svao.dolgi.msk.ru/account/1760233549/", 1760233549)</f>
        <v>1760233549</v>
      </c>
      <c r="D5245">
        <v>5498.97</v>
      </c>
    </row>
    <row r="5246" spans="1:4" x14ac:dyDescent="0.25">
      <c r="A5246" t="s">
        <v>579</v>
      </c>
      <c r="B5246" t="s">
        <v>58</v>
      </c>
      <c r="C5246" s="2">
        <f>HYPERLINK("https://svao.dolgi.msk.ru/account/1760233573/", 1760233573)</f>
        <v>1760233573</v>
      </c>
      <c r="D5246">
        <v>5895.84</v>
      </c>
    </row>
    <row r="5247" spans="1:4" x14ac:dyDescent="0.25">
      <c r="A5247" t="s">
        <v>579</v>
      </c>
      <c r="B5247" t="s">
        <v>299</v>
      </c>
      <c r="C5247" s="2">
        <f>HYPERLINK("https://svao.dolgi.msk.ru/account/1760233581/", 1760233581)</f>
        <v>1760233581</v>
      </c>
      <c r="D5247">
        <v>4589.76</v>
      </c>
    </row>
    <row r="5248" spans="1:4" x14ac:dyDescent="0.25">
      <c r="A5248" t="s">
        <v>579</v>
      </c>
      <c r="B5248" t="s">
        <v>158</v>
      </c>
      <c r="C5248" s="2">
        <f>HYPERLINK("https://svao.dolgi.msk.ru/account/1760233602/", 1760233602)</f>
        <v>1760233602</v>
      </c>
      <c r="D5248">
        <v>8424.4</v>
      </c>
    </row>
    <row r="5249" spans="1:4" x14ac:dyDescent="0.25">
      <c r="A5249" t="s">
        <v>579</v>
      </c>
      <c r="B5249" t="s">
        <v>336</v>
      </c>
      <c r="C5249" s="2">
        <f>HYPERLINK("https://svao.dolgi.msk.ru/account/1760233645/", 1760233645)</f>
        <v>1760233645</v>
      </c>
      <c r="D5249">
        <v>1857.85</v>
      </c>
    </row>
    <row r="5250" spans="1:4" x14ac:dyDescent="0.25">
      <c r="A5250" t="s">
        <v>579</v>
      </c>
      <c r="B5250" t="s">
        <v>60</v>
      </c>
      <c r="C5250" s="2">
        <f>HYPERLINK("https://svao.dolgi.msk.ru/account/1760233653/", 1760233653)</f>
        <v>1760233653</v>
      </c>
      <c r="D5250">
        <v>9407.17</v>
      </c>
    </row>
    <row r="5251" spans="1:4" x14ac:dyDescent="0.25">
      <c r="A5251" t="s">
        <v>579</v>
      </c>
      <c r="B5251" t="s">
        <v>378</v>
      </c>
      <c r="C5251" s="2">
        <f>HYPERLINK("https://svao.dolgi.msk.ru/account/1760233661/", 1760233661)</f>
        <v>1760233661</v>
      </c>
      <c r="D5251">
        <v>2214.89</v>
      </c>
    </row>
    <row r="5252" spans="1:4" x14ac:dyDescent="0.25">
      <c r="A5252" t="s">
        <v>579</v>
      </c>
      <c r="B5252" t="s">
        <v>342</v>
      </c>
      <c r="C5252" s="2">
        <f>HYPERLINK("https://svao.dolgi.msk.ru/account/1760233688/", 1760233688)</f>
        <v>1760233688</v>
      </c>
      <c r="D5252">
        <v>1031.67</v>
      </c>
    </row>
    <row r="5253" spans="1:4" x14ac:dyDescent="0.25">
      <c r="A5253" t="s">
        <v>579</v>
      </c>
      <c r="B5253" t="s">
        <v>342</v>
      </c>
      <c r="C5253" s="2">
        <f>HYPERLINK("https://svao.dolgi.msk.ru/account/1761795586/", 1761795586)</f>
        <v>1761795586</v>
      </c>
      <c r="D5253">
        <v>6961.6</v>
      </c>
    </row>
    <row r="5254" spans="1:4" x14ac:dyDescent="0.25">
      <c r="A5254" t="s">
        <v>579</v>
      </c>
      <c r="B5254" t="s">
        <v>159</v>
      </c>
      <c r="C5254" s="2">
        <f>HYPERLINK("https://svao.dolgi.msk.ru/account/1760233717/", 1760233717)</f>
        <v>1760233717</v>
      </c>
      <c r="D5254">
        <v>9275.43</v>
      </c>
    </row>
    <row r="5255" spans="1:4" x14ac:dyDescent="0.25">
      <c r="A5255" t="s">
        <v>579</v>
      </c>
      <c r="B5255" t="s">
        <v>62</v>
      </c>
      <c r="C5255" s="2">
        <f>HYPERLINK("https://svao.dolgi.msk.ru/account/1760233725/", 1760233725)</f>
        <v>1760233725</v>
      </c>
      <c r="D5255">
        <v>4141.25</v>
      </c>
    </row>
    <row r="5256" spans="1:4" x14ac:dyDescent="0.25">
      <c r="A5256" t="s">
        <v>579</v>
      </c>
      <c r="B5256" t="s">
        <v>160</v>
      </c>
      <c r="C5256" s="2">
        <f>HYPERLINK("https://svao.dolgi.msk.ru/account/1760233768/", 1760233768)</f>
        <v>1760233768</v>
      </c>
      <c r="D5256">
        <v>14855.49</v>
      </c>
    </row>
    <row r="5257" spans="1:4" x14ac:dyDescent="0.25">
      <c r="A5257" t="s">
        <v>579</v>
      </c>
      <c r="B5257" t="s">
        <v>63</v>
      </c>
      <c r="C5257" s="2">
        <f>HYPERLINK("https://svao.dolgi.msk.ru/account/1760233776/", 1760233776)</f>
        <v>1760233776</v>
      </c>
      <c r="D5257">
        <v>54444.35</v>
      </c>
    </row>
    <row r="5258" spans="1:4" x14ac:dyDescent="0.25">
      <c r="A5258" t="s">
        <v>579</v>
      </c>
      <c r="B5258" t="s">
        <v>67</v>
      </c>
      <c r="C5258" s="2">
        <f>HYPERLINK("https://svao.dolgi.msk.ru/account/1760233856/", 1760233856)</f>
        <v>1760233856</v>
      </c>
      <c r="D5258">
        <v>4252.76</v>
      </c>
    </row>
    <row r="5259" spans="1:4" x14ac:dyDescent="0.25">
      <c r="A5259" t="s">
        <v>579</v>
      </c>
      <c r="B5259" t="s">
        <v>380</v>
      </c>
      <c r="C5259" s="2">
        <f>HYPERLINK("https://svao.dolgi.msk.ru/account/1760233872/", 1760233872)</f>
        <v>1760233872</v>
      </c>
      <c r="D5259">
        <v>1874.07</v>
      </c>
    </row>
    <row r="5260" spans="1:4" x14ac:dyDescent="0.25">
      <c r="A5260" t="s">
        <v>579</v>
      </c>
      <c r="B5260" t="s">
        <v>68</v>
      </c>
      <c r="C5260" s="2">
        <f>HYPERLINK("https://svao.dolgi.msk.ru/account/1760233952/", 1760233952)</f>
        <v>1760233952</v>
      </c>
      <c r="D5260">
        <v>3670.9</v>
      </c>
    </row>
    <row r="5261" spans="1:4" x14ac:dyDescent="0.25">
      <c r="A5261" t="s">
        <v>579</v>
      </c>
      <c r="B5261" t="s">
        <v>259</v>
      </c>
      <c r="C5261" s="2">
        <f>HYPERLINK("https://svao.dolgi.msk.ru/account/1760233987/", 1760233987)</f>
        <v>1760233987</v>
      </c>
      <c r="D5261">
        <v>3320.17</v>
      </c>
    </row>
    <row r="5262" spans="1:4" x14ac:dyDescent="0.25">
      <c r="A5262" t="s">
        <v>579</v>
      </c>
      <c r="B5262" t="s">
        <v>164</v>
      </c>
      <c r="C5262" s="2">
        <f>HYPERLINK("https://svao.dolgi.msk.ru/account/1760233995/", 1760233995)</f>
        <v>1760233995</v>
      </c>
      <c r="D5262">
        <v>3735.84</v>
      </c>
    </row>
    <row r="5263" spans="1:4" x14ac:dyDescent="0.25">
      <c r="A5263" t="s">
        <v>579</v>
      </c>
      <c r="B5263" t="s">
        <v>69</v>
      </c>
      <c r="C5263" s="2">
        <f>HYPERLINK("https://svao.dolgi.msk.ru/account/1760234007/", 1760234007)</f>
        <v>1760234007</v>
      </c>
      <c r="D5263">
        <v>11081.11</v>
      </c>
    </row>
    <row r="5264" spans="1:4" x14ac:dyDescent="0.25">
      <c r="A5264" t="s">
        <v>579</v>
      </c>
      <c r="B5264" t="s">
        <v>262</v>
      </c>
      <c r="C5264" s="2">
        <f>HYPERLINK("https://svao.dolgi.msk.ru/account/1760234082/", 1760234082)</f>
        <v>1760234082</v>
      </c>
      <c r="D5264">
        <v>28695.73</v>
      </c>
    </row>
    <row r="5265" spans="1:4" x14ac:dyDescent="0.25">
      <c r="A5265" t="s">
        <v>579</v>
      </c>
      <c r="B5265" t="s">
        <v>166</v>
      </c>
      <c r="C5265" s="2">
        <f>HYPERLINK("https://svao.dolgi.msk.ru/account/1760234138/", 1760234138)</f>
        <v>1760234138</v>
      </c>
      <c r="D5265">
        <v>377134.53</v>
      </c>
    </row>
    <row r="5266" spans="1:4" x14ac:dyDescent="0.25">
      <c r="A5266" t="s">
        <v>579</v>
      </c>
      <c r="B5266" t="s">
        <v>167</v>
      </c>
      <c r="C5266" s="2">
        <f>HYPERLINK("https://svao.dolgi.msk.ru/account/1760234146/", 1760234146)</f>
        <v>1760234146</v>
      </c>
      <c r="D5266">
        <v>50607.78</v>
      </c>
    </row>
    <row r="5267" spans="1:4" x14ac:dyDescent="0.25">
      <c r="A5267" t="s">
        <v>579</v>
      </c>
      <c r="B5267" t="s">
        <v>417</v>
      </c>
      <c r="C5267" s="2">
        <f>HYPERLINK("https://svao.dolgi.msk.ru/account/1760234154/", 1760234154)</f>
        <v>1760234154</v>
      </c>
      <c r="D5267">
        <v>12194.7</v>
      </c>
    </row>
    <row r="5268" spans="1:4" x14ac:dyDescent="0.25">
      <c r="A5268" t="s">
        <v>579</v>
      </c>
      <c r="B5268" t="s">
        <v>169</v>
      </c>
      <c r="C5268" s="2">
        <f>HYPERLINK("https://svao.dolgi.msk.ru/account/1760234218/", 1760234218)</f>
        <v>1760234218</v>
      </c>
      <c r="D5268">
        <v>12403.43</v>
      </c>
    </row>
    <row r="5269" spans="1:4" x14ac:dyDescent="0.25">
      <c r="A5269" t="s">
        <v>579</v>
      </c>
      <c r="B5269" t="s">
        <v>263</v>
      </c>
      <c r="C5269" s="2">
        <f>HYPERLINK("https://svao.dolgi.msk.ru/account/1760234269/", 1760234269)</f>
        <v>1760234269</v>
      </c>
      <c r="D5269">
        <v>3329.84</v>
      </c>
    </row>
    <row r="5270" spans="1:4" x14ac:dyDescent="0.25">
      <c r="A5270" t="s">
        <v>579</v>
      </c>
      <c r="B5270" t="s">
        <v>263</v>
      </c>
      <c r="C5270" s="2">
        <f>HYPERLINK("https://svao.dolgi.msk.ru/account/1761792895/", 1761792895)</f>
        <v>1761792895</v>
      </c>
      <c r="D5270">
        <v>4335.4799999999996</v>
      </c>
    </row>
    <row r="5271" spans="1:4" x14ac:dyDescent="0.25">
      <c r="A5271" t="s">
        <v>579</v>
      </c>
      <c r="B5271" t="s">
        <v>264</v>
      </c>
      <c r="C5271" s="2">
        <f>HYPERLINK("https://svao.dolgi.msk.ru/account/1760234277/", 1760234277)</f>
        <v>1760234277</v>
      </c>
      <c r="D5271">
        <v>2328.46</v>
      </c>
    </row>
    <row r="5272" spans="1:4" x14ac:dyDescent="0.25">
      <c r="A5272" t="s">
        <v>579</v>
      </c>
      <c r="B5272" t="s">
        <v>485</v>
      </c>
      <c r="C5272" s="2">
        <f>HYPERLINK("https://svao.dolgi.msk.ru/account/1760234285/", 1760234285)</f>
        <v>1760234285</v>
      </c>
      <c r="D5272">
        <v>245</v>
      </c>
    </row>
    <row r="5273" spans="1:4" x14ac:dyDescent="0.25">
      <c r="A5273" t="s">
        <v>579</v>
      </c>
      <c r="B5273" t="s">
        <v>478</v>
      </c>
      <c r="C5273" s="2">
        <f>HYPERLINK("https://svao.dolgi.msk.ru/account/1760234306/", 1760234306)</f>
        <v>1760234306</v>
      </c>
      <c r="D5273">
        <v>1635.38</v>
      </c>
    </row>
    <row r="5274" spans="1:4" x14ac:dyDescent="0.25">
      <c r="A5274" t="s">
        <v>579</v>
      </c>
      <c r="B5274" t="s">
        <v>172</v>
      </c>
      <c r="C5274" s="2">
        <f>HYPERLINK("https://svao.dolgi.msk.ru/account/1760235229/", 1760235229)</f>
        <v>1760235229</v>
      </c>
      <c r="D5274">
        <v>14239.08</v>
      </c>
    </row>
    <row r="5275" spans="1:4" x14ac:dyDescent="0.25">
      <c r="A5275" t="s">
        <v>579</v>
      </c>
      <c r="B5275" t="s">
        <v>266</v>
      </c>
      <c r="C5275" s="2">
        <f>HYPERLINK("https://svao.dolgi.msk.ru/account/1760234365/", 1760234365)</f>
        <v>1760234365</v>
      </c>
      <c r="D5275">
        <v>31381.58</v>
      </c>
    </row>
    <row r="5276" spans="1:4" x14ac:dyDescent="0.25">
      <c r="A5276" t="s">
        <v>579</v>
      </c>
      <c r="B5276" t="s">
        <v>349</v>
      </c>
      <c r="C5276" s="2">
        <f>HYPERLINK("https://svao.dolgi.msk.ru/account/1760234373/", 1760234373)</f>
        <v>1760234373</v>
      </c>
      <c r="D5276">
        <v>5545.49</v>
      </c>
    </row>
    <row r="5277" spans="1:4" x14ac:dyDescent="0.25">
      <c r="A5277" t="s">
        <v>579</v>
      </c>
      <c r="B5277" t="s">
        <v>479</v>
      </c>
      <c r="C5277" s="2">
        <f>HYPERLINK("https://svao.dolgi.msk.ru/account/1760234402/", 1760234402)</f>
        <v>1760234402</v>
      </c>
      <c r="D5277">
        <v>5816.08</v>
      </c>
    </row>
    <row r="5278" spans="1:4" x14ac:dyDescent="0.25">
      <c r="A5278" t="s">
        <v>579</v>
      </c>
      <c r="B5278" t="s">
        <v>420</v>
      </c>
      <c r="C5278" s="2">
        <f>HYPERLINK("https://svao.dolgi.msk.ru/account/1760234488/", 1760234488)</f>
        <v>1760234488</v>
      </c>
      <c r="D5278">
        <v>35795.83</v>
      </c>
    </row>
    <row r="5279" spans="1:4" x14ac:dyDescent="0.25">
      <c r="A5279" t="s">
        <v>579</v>
      </c>
      <c r="B5279" t="s">
        <v>267</v>
      </c>
      <c r="C5279" s="2">
        <f>HYPERLINK("https://svao.dolgi.msk.ru/account/1760234509/", 1760234509)</f>
        <v>1760234509</v>
      </c>
      <c r="D5279">
        <v>3132.11</v>
      </c>
    </row>
    <row r="5280" spans="1:4" x14ac:dyDescent="0.25">
      <c r="A5280" t="s">
        <v>579</v>
      </c>
      <c r="B5280" t="s">
        <v>175</v>
      </c>
      <c r="C5280" s="2">
        <f>HYPERLINK("https://svao.dolgi.msk.ru/account/1760234533/", 1760234533)</f>
        <v>1760234533</v>
      </c>
      <c r="D5280">
        <v>3250.8</v>
      </c>
    </row>
    <row r="5281" spans="1:4" x14ac:dyDescent="0.25">
      <c r="A5281" t="s">
        <v>579</v>
      </c>
      <c r="B5281" t="s">
        <v>504</v>
      </c>
      <c r="C5281" s="2">
        <f>HYPERLINK("https://svao.dolgi.msk.ru/account/1760234584/", 1760234584)</f>
        <v>1760234584</v>
      </c>
      <c r="D5281">
        <v>18163.68</v>
      </c>
    </row>
    <row r="5282" spans="1:4" x14ac:dyDescent="0.25">
      <c r="A5282" t="s">
        <v>579</v>
      </c>
      <c r="B5282" t="s">
        <v>272</v>
      </c>
      <c r="C5282" s="2">
        <f>HYPERLINK("https://svao.dolgi.msk.ru/account/1760234656/", 1760234656)</f>
        <v>1760234656</v>
      </c>
      <c r="D5282">
        <v>7810.3</v>
      </c>
    </row>
    <row r="5283" spans="1:4" x14ac:dyDescent="0.25">
      <c r="A5283" t="s">
        <v>579</v>
      </c>
      <c r="B5283" t="s">
        <v>179</v>
      </c>
      <c r="C5283" s="2">
        <f>HYPERLINK("https://svao.dolgi.msk.ru/account/1761793281/", 1761793281)</f>
        <v>1761793281</v>
      </c>
      <c r="D5283">
        <v>4155.24</v>
      </c>
    </row>
    <row r="5284" spans="1:4" x14ac:dyDescent="0.25">
      <c r="A5284" t="s">
        <v>579</v>
      </c>
      <c r="B5284" t="s">
        <v>180</v>
      </c>
      <c r="C5284" s="2">
        <f>HYPERLINK("https://svao.dolgi.msk.ru/account/1760234699/", 1760234699)</f>
        <v>1760234699</v>
      </c>
      <c r="D5284">
        <v>2303.96</v>
      </c>
    </row>
    <row r="5285" spans="1:4" x14ac:dyDescent="0.25">
      <c r="A5285" t="s">
        <v>579</v>
      </c>
      <c r="B5285" t="s">
        <v>488</v>
      </c>
      <c r="C5285" s="2">
        <f>HYPERLINK("https://svao.dolgi.msk.ru/account/1760234701/", 1760234701)</f>
        <v>1760234701</v>
      </c>
      <c r="D5285">
        <v>4593.8599999999997</v>
      </c>
    </row>
    <row r="5286" spans="1:4" x14ac:dyDescent="0.25">
      <c r="A5286" t="s">
        <v>579</v>
      </c>
      <c r="B5286" t="s">
        <v>437</v>
      </c>
      <c r="C5286" s="2">
        <f>HYPERLINK("https://svao.dolgi.msk.ru/account/1760234787/", 1760234787)</f>
        <v>1760234787</v>
      </c>
      <c r="D5286">
        <v>1350.36</v>
      </c>
    </row>
    <row r="5287" spans="1:4" x14ac:dyDescent="0.25">
      <c r="A5287" t="s">
        <v>579</v>
      </c>
      <c r="B5287" t="s">
        <v>580</v>
      </c>
      <c r="C5287" s="2">
        <f>HYPERLINK("https://svao.dolgi.msk.ru/account/1760234824/", 1760234824)</f>
        <v>1760234824</v>
      </c>
      <c r="D5287">
        <v>5142.37</v>
      </c>
    </row>
    <row r="5288" spans="1:4" x14ac:dyDescent="0.25">
      <c r="A5288" t="s">
        <v>579</v>
      </c>
      <c r="B5288" t="s">
        <v>355</v>
      </c>
      <c r="C5288" s="2">
        <f>HYPERLINK("https://svao.dolgi.msk.ru/account/1760234832/", 1760234832)</f>
        <v>1760234832</v>
      </c>
      <c r="D5288">
        <v>6352.57</v>
      </c>
    </row>
    <row r="5289" spans="1:4" x14ac:dyDescent="0.25">
      <c r="A5289" t="s">
        <v>579</v>
      </c>
      <c r="B5289" t="s">
        <v>276</v>
      </c>
      <c r="C5289" s="2">
        <f>HYPERLINK("https://svao.dolgi.msk.ru/account/1760234891/", 1760234891)</f>
        <v>1760234891</v>
      </c>
      <c r="D5289">
        <v>3224.13</v>
      </c>
    </row>
    <row r="5290" spans="1:4" x14ac:dyDescent="0.25">
      <c r="A5290" t="s">
        <v>579</v>
      </c>
      <c r="B5290" t="s">
        <v>278</v>
      </c>
      <c r="C5290" s="2">
        <f>HYPERLINK("https://svao.dolgi.msk.ru/account/1760234912/", 1760234912)</f>
        <v>1760234912</v>
      </c>
      <c r="D5290">
        <v>4466.26</v>
      </c>
    </row>
    <row r="5291" spans="1:4" x14ac:dyDescent="0.25">
      <c r="A5291" t="s">
        <v>579</v>
      </c>
      <c r="B5291" t="s">
        <v>183</v>
      </c>
      <c r="C5291" s="2">
        <f>HYPERLINK("https://svao.dolgi.msk.ru/account/1760234939/", 1760234939)</f>
        <v>1760234939</v>
      </c>
      <c r="D5291">
        <v>13557.35</v>
      </c>
    </row>
    <row r="5292" spans="1:4" x14ac:dyDescent="0.25">
      <c r="A5292" t="s">
        <v>579</v>
      </c>
      <c r="B5292" t="s">
        <v>192</v>
      </c>
      <c r="C5292" s="2">
        <f>HYPERLINK("https://svao.dolgi.msk.ru/account/1760235149/", 1760235149)</f>
        <v>1760235149</v>
      </c>
      <c r="D5292">
        <v>3969.9</v>
      </c>
    </row>
    <row r="5293" spans="1:4" x14ac:dyDescent="0.25">
      <c r="A5293" t="s">
        <v>579</v>
      </c>
      <c r="B5293" t="s">
        <v>539</v>
      </c>
      <c r="C5293" s="2">
        <f>HYPERLINK("https://svao.dolgi.msk.ru/account/1760235165/", 1760235165)</f>
        <v>1760235165</v>
      </c>
      <c r="D5293">
        <v>24354.57</v>
      </c>
    </row>
    <row r="5294" spans="1:4" x14ac:dyDescent="0.25">
      <c r="A5294" t="s">
        <v>579</v>
      </c>
      <c r="B5294" t="s">
        <v>280</v>
      </c>
      <c r="C5294" s="2">
        <f>HYPERLINK("https://svao.dolgi.msk.ru/account/1760235181/", 1760235181)</f>
        <v>1760235181</v>
      </c>
      <c r="D5294">
        <v>2655.62</v>
      </c>
    </row>
    <row r="5295" spans="1:4" x14ac:dyDescent="0.25">
      <c r="A5295" t="s">
        <v>579</v>
      </c>
      <c r="B5295" t="s">
        <v>490</v>
      </c>
      <c r="C5295" s="2">
        <f>HYPERLINK("https://svao.dolgi.msk.ru/account/1760235202/", 1760235202)</f>
        <v>1760235202</v>
      </c>
      <c r="D5295">
        <v>3091.51</v>
      </c>
    </row>
    <row r="5296" spans="1:4" x14ac:dyDescent="0.25">
      <c r="A5296" t="s">
        <v>579</v>
      </c>
      <c r="B5296" t="s">
        <v>281</v>
      </c>
      <c r="C5296" s="2">
        <f>HYPERLINK("https://svao.dolgi.msk.ru/account/1760234322/", 1760234322)</f>
        <v>1760234322</v>
      </c>
      <c r="D5296">
        <v>6592.25</v>
      </c>
    </row>
    <row r="5297" spans="1:4" x14ac:dyDescent="0.25">
      <c r="A5297" t="s">
        <v>579</v>
      </c>
      <c r="B5297" t="s">
        <v>540</v>
      </c>
      <c r="C5297" s="2">
        <f>HYPERLINK("https://svao.dolgi.msk.ru/account/1760235237/", 1760235237)</f>
        <v>1760235237</v>
      </c>
      <c r="D5297">
        <v>7930.7</v>
      </c>
    </row>
    <row r="5298" spans="1:4" x14ac:dyDescent="0.25">
      <c r="A5298" t="s">
        <v>579</v>
      </c>
      <c r="B5298" t="s">
        <v>196</v>
      </c>
      <c r="C5298" s="2">
        <f>HYPERLINK("https://svao.dolgi.msk.ru/account/1760235309/", 1760235309)</f>
        <v>1760235309</v>
      </c>
      <c r="D5298">
        <v>375.36</v>
      </c>
    </row>
    <row r="5299" spans="1:4" x14ac:dyDescent="0.25">
      <c r="A5299" t="s">
        <v>579</v>
      </c>
      <c r="B5299" t="s">
        <v>361</v>
      </c>
      <c r="C5299" s="2">
        <f>HYPERLINK("https://svao.dolgi.msk.ru/account/1760235333/", 1760235333)</f>
        <v>1760235333</v>
      </c>
      <c r="D5299">
        <v>2873.12</v>
      </c>
    </row>
    <row r="5300" spans="1:4" x14ac:dyDescent="0.25">
      <c r="A5300" t="s">
        <v>579</v>
      </c>
      <c r="B5300" t="s">
        <v>363</v>
      </c>
      <c r="C5300" s="2">
        <f>HYPERLINK("https://svao.dolgi.msk.ru/account/1760235368/", 1760235368)</f>
        <v>1760235368</v>
      </c>
      <c r="D5300">
        <v>3814.71</v>
      </c>
    </row>
    <row r="5301" spans="1:4" x14ac:dyDescent="0.25">
      <c r="A5301" t="s">
        <v>579</v>
      </c>
      <c r="B5301" t="s">
        <v>198</v>
      </c>
      <c r="C5301" s="2">
        <f>HYPERLINK("https://svao.dolgi.msk.ru/account/1760235413/", 1760235413)</f>
        <v>1760235413</v>
      </c>
      <c r="D5301">
        <v>2706.98</v>
      </c>
    </row>
    <row r="5302" spans="1:4" x14ac:dyDescent="0.25">
      <c r="A5302" t="s">
        <v>579</v>
      </c>
      <c r="B5302" t="s">
        <v>364</v>
      </c>
      <c r="C5302" s="2">
        <f>HYPERLINK("https://svao.dolgi.msk.ru/account/1760235421/", 1760235421)</f>
        <v>1760235421</v>
      </c>
      <c r="D5302">
        <v>5809.56</v>
      </c>
    </row>
    <row r="5303" spans="1:4" x14ac:dyDescent="0.25">
      <c r="A5303" t="s">
        <v>579</v>
      </c>
      <c r="B5303" t="s">
        <v>511</v>
      </c>
      <c r="C5303" s="2">
        <f>HYPERLINK("https://svao.dolgi.msk.ru/account/1760235472/", 1760235472)</f>
        <v>1760235472</v>
      </c>
      <c r="D5303">
        <v>3750.86</v>
      </c>
    </row>
    <row r="5304" spans="1:4" x14ac:dyDescent="0.25">
      <c r="A5304" t="s">
        <v>579</v>
      </c>
      <c r="B5304" t="s">
        <v>201</v>
      </c>
      <c r="C5304" s="2">
        <f>HYPERLINK("https://svao.dolgi.msk.ru/account/1760235499/", 1760235499)</f>
        <v>1760235499</v>
      </c>
      <c r="D5304">
        <v>15263.46</v>
      </c>
    </row>
    <row r="5305" spans="1:4" x14ac:dyDescent="0.25">
      <c r="A5305" t="s">
        <v>579</v>
      </c>
      <c r="B5305" t="s">
        <v>203</v>
      </c>
      <c r="C5305" s="2">
        <f>HYPERLINK("https://svao.dolgi.msk.ru/account/1760235528/", 1760235528)</f>
        <v>1760235528</v>
      </c>
      <c r="D5305">
        <v>5117.6099999999997</v>
      </c>
    </row>
    <row r="5306" spans="1:4" x14ac:dyDescent="0.25">
      <c r="A5306" t="s">
        <v>579</v>
      </c>
      <c r="B5306" t="s">
        <v>553</v>
      </c>
      <c r="C5306" s="2">
        <f>HYPERLINK("https://svao.dolgi.msk.ru/account/1760235536/", 1760235536)</f>
        <v>1760235536</v>
      </c>
      <c r="D5306">
        <v>4908.26</v>
      </c>
    </row>
    <row r="5307" spans="1:4" x14ac:dyDescent="0.25">
      <c r="A5307" t="s">
        <v>579</v>
      </c>
      <c r="B5307" t="s">
        <v>581</v>
      </c>
      <c r="C5307" s="2">
        <f>HYPERLINK("https://svao.dolgi.msk.ru/account/1760235552/", 1760235552)</f>
        <v>1760235552</v>
      </c>
      <c r="D5307">
        <v>5327.86</v>
      </c>
    </row>
    <row r="5308" spans="1:4" x14ac:dyDescent="0.25">
      <c r="A5308" t="s">
        <v>579</v>
      </c>
      <c r="B5308" t="s">
        <v>284</v>
      </c>
      <c r="C5308" s="2">
        <f>HYPERLINK("https://svao.dolgi.msk.ru/account/1760235587/", 1760235587)</f>
        <v>1760235587</v>
      </c>
      <c r="D5308">
        <v>13279.99</v>
      </c>
    </row>
    <row r="5309" spans="1:4" x14ac:dyDescent="0.25">
      <c r="A5309" t="s">
        <v>579</v>
      </c>
      <c r="B5309" t="s">
        <v>206</v>
      </c>
      <c r="C5309" s="2">
        <f>HYPERLINK("https://svao.dolgi.msk.ru/account/1760235608/", 1760235608)</f>
        <v>1760235608</v>
      </c>
      <c r="D5309">
        <v>21247.06</v>
      </c>
    </row>
    <row r="5310" spans="1:4" x14ac:dyDescent="0.25">
      <c r="A5310" t="s">
        <v>579</v>
      </c>
      <c r="B5310" t="s">
        <v>285</v>
      </c>
      <c r="C5310" s="2">
        <f>HYPERLINK("https://svao.dolgi.msk.ru/account/1760235632/", 1760235632)</f>
        <v>1760235632</v>
      </c>
      <c r="D5310">
        <v>9469.31</v>
      </c>
    </row>
    <row r="5311" spans="1:4" x14ac:dyDescent="0.25">
      <c r="A5311" t="s">
        <v>579</v>
      </c>
      <c r="B5311" t="s">
        <v>582</v>
      </c>
      <c r="C5311" s="2">
        <f>HYPERLINK("https://svao.dolgi.msk.ru/account/1760235683/", 1760235683)</f>
        <v>1760235683</v>
      </c>
      <c r="D5311">
        <v>6582.06</v>
      </c>
    </row>
    <row r="5312" spans="1:4" x14ac:dyDescent="0.25">
      <c r="A5312" t="s">
        <v>579</v>
      </c>
      <c r="B5312" t="s">
        <v>287</v>
      </c>
      <c r="C5312" s="2">
        <f>HYPERLINK("https://svao.dolgi.msk.ru/account/1760235691/", 1760235691)</f>
        <v>1760235691</v>
      </c>
      <c r="D5312">
        <v>1892.32</v>
      </c>
    </row>
    <row r="5313" spans="1:4" x14ac:dyDescent="0.25">
      <c r="A5313" t="s">
        <v>579</v>
      </c>
      <c r="B5313" t="s">
        <v>208</v>
      </c>
      <c r="C5313" s="2">
        <f>HYPERLINK("https://svao.dolgi.msk.ru/account/1760235712/", 1760235712)</f>
        <v>1760235712</v>
      </c>
      <c r="D5313">
        <v>6694.47</v>
      </c>
    </row>
    <row r="5314" spans="1:4" x14ac:dyDescent="0.25">
      <c r="A5314" t="s">
        <v>579</v>
      </c>
      <c r="B5314" t="s">
        <v>288</v>
      </c>
      <c r="C5314" s="2">
        <f>HYPERLINK("https://svao.dolgi.msk.ru/account/1760235771/", 1760235771)</f>
        <v>1760235771</v>
      </c>
      <c r="D5314">
        <v>7274.13</v>
      </c>
    </row>
    <row r="5315" spans="1:4" x14ac:dyDescent="0.25">
      <c r="A5315" t="s">
        <v>579</v>
      </c>
      <c r="B5315" t="s">
        <v>492</v>
      </c>
      <c r="C5315" s="2">
        <f>HYPERLINK("https://svao.dolgi.msk.ru/account/1760235798/", 1760235798)</f>
        <v>1760235798</v>
      </c>
      <c r="D5315">
        <v>2361.73</v>
      </c>
    </row>
    <row r="5316" spans="1:4" x14ac:dyDescent="0.25">
      <c r="A5316" t="s">
        <v>579</v>
      </c>
      <c r="B5316" t="s">
        <v>210</v>
      </c>
      <c r="C5316" s="2">
        <f>HYPERLINK("https://svao.dolgi.msk.ru/account/1760235819/", 1760235819)</f>
        <v>1760235819</v>
      </c>
      <c r="D5316">
        <v>2079.27</v>
      </c>
    </row>
    <row r="5317" spans="1:4" x14ac:dyDescent="0.25">
      <c r="A5317" t="s">
        <v>583</v>
      </c>
      <c r="B5317" t="s">
        <v>6</v>
      </c>
      <c r="C5317" s="2">
        <f>HYPERLINK("https://svao.dolgi.msk.ru/account/1760236985/", 1760236985)</f>
        <v>1760236985</v>
      </c>
      <c r="D5317">
        <v>64036.71</v>
      </c>
    </row>
    <row r="5318" spans="1:4" x14ac:dyDescent="0.25">
      <c r="A5318" t="s">
        <v>583</v>
      </c>
      <c r="B5318" t="s">
        <v>73</v>
      </c>
      <c r="C5318" s="2">
        <f>HYPERLINK("https://svao.dolgi.msk.ru/account/1760237072/", 1760237072)</f>
        <v>1760237072</v>
      </c>
      <c r="D5318">
        <v>512.13</v>
      </c>
    </row>
    <row r="5319" spans="1:4" x14ac:dyDescent="0.25">
      <c r="A5319" t="s">
        <v>583</v>
      </c>
      <c r="B5319" t="s">
        <v>73</v>
      </c>
      <c r="C5319" s="2">
        <f>HYPERLINK("https://svao.dolgi.msk.ru/account/1760262382/", 1760262382)</f>
        <v>1760262382</v>
      </c>
      <c r="D5319">
        <v>740.9</v>
      </c>
    </row>
    <row r="5320" spans="1:4" x14ac:dyDescent="0.25">
      <c r="A5320" t="s">
        <v>583</v>
      </c>
      <c r="B5320" t="s">
        <v>137</v>
      </c>
      <c r="C5320" s="2">
        <f>HYPERLINK("https://svao.dolgi.msk.ru/account/1760237144/", 1760237144)</f>
        <v>1760237144</v>
      </c>
      <c r="D5320">
        <v>2010.33</v>
      </c>
    </row>
    <row r="5321" spans="1:4" x14ac:dyDescent="0.25">
      <c r="A5321" t="s">
        <v>583</v>
      </c>
      <c r="B5321" t="s">
        <v>12</v>
      </c>
      <c r="C5321" s="2">
        <f>HYPERLINK("https://svao.dolgi.msk.ru/account/1760237224/", 1760237224)</f>
        <v>1760237224</v>
      </c>
      <c r="D5321">
        <v>4264.08</v>
      </c>
    </row>
    <row r="5322" spans="1:4" x14ac:dyDescent="0.25">
      <c r="A5322" t="s">
        <v>583</v>
      </c>
      <c r="B5322" t="s">
        <v>14</v>
      </c>
      <c r="C5322" s="2">
        <f>HYPERLINK("https://svao.dolgi.msk.ru/account/1760237259/", 1760237259)</f>
        <v>1760237259</v>
      </c>
      <c r="D5322">
        <v>3377.84</v>
      </c>
    </row>
    <row r="5323" spans="1:4" x14ac:dyDescent="0.25">
      <c r="A5323" t="s">
        <v>583</v>
      </c>
      <c r="B5323" t="s">
        <v>18</v>
      </c>
      <c r="C5323" s="2">
        <f>HYPERLINK("https://svao.dolgi.msk.ru/account/1760237339/", 1760237339)</f>
        <v>1760237339</v>
      </c>
      <c r="D5323">
        <v>5227.5</v>
      </c>
    </row>
    <row r="5324" spans="1:4" x14ac:dyDescent="0.25">
      <c r="A5324" t="s">
        <v>583</v>
      </c>
      <c r="B5324" t="s">
        <v>111</v>
      </c>
      <c r="C5324" s="2">
        <f>HYPERLINK("https://svao.dolgi.msk.ru/account/1760237435/", 1760237435)</f>
        <v>1760237435</v>
      </c>
      <c r="D5324">
        <v>17306.849999999999</v>
      </c>
    </row>
    <row r="5325" spans="1:4" x14ac:dyDescent="0.25">
      <c r="A5325" t="s">
        <v>583</v>
      </c>
      <c r="B5325" t="s">
        <v>94</v>
      </c>
      <c r="C5325" s="2">
        <f>HYPERLINK("https://svao.dolgi.msk.ru/account/1760237443/", 1760237443)</f>
        <v>1760237443</v>
      </c>
      <c r="D5325">
        <v>5258.53</v>
      </c>
    </row>
    <row r="5326" spans="1:4" x14ac:dyDescent="0.25">
      <c r="A5326" t="s">
        <v>583</v>
      </c>
      <c r="B5326" t="s">
        <v>112</v>
      </c>
      <c r="C5326" s="2">
        <f>HYPERLINK("https://svao.dolgi.msk.ru/account/1760237451/", 1760237451)</f>
        <v>1760237451</v>
      </c>
      <c r="D5326">
        <v>4768.46</v>
      </c>
    </row>
    <row r="5327" spans="1:4" x14ac:dyDescent="0.25">
      <c r="A5327" t="s">
        <v>583</v>
      </c>
      <c r="B5327" t="s">
        <v>113</v>
      </c>
      <c r="C5327" s="2">
        <f>HYPERLINK("https://svao.dolgi.msk.ru/account/1760237478/", 1760237478)</f>
        <v>1760237478</v>
      </c>
      <c r="D5327">
        <v>48016.01</v>
      </c>
    </row>
    <row r="5328" spans="1:4" x14ac:dyDescent="0.25">
      <c r="A5328" t="s">
        <v>583</v>
      </c>
      <c r="B5328" t="s">
        <v>78</v>
      </c>
      <c r="C5328" s="2">
        <f>HYPERLINK("https://svao.dolgi.msk.ru/account/1760237515/", 1760237515)</f>
        <v>1760237515</v>
      </c>
      <c r="D5328">
        <v>7930.46</v>
      </c>
    </row>
    <row r="5329" spans="1:4" x14ac:dyDescent="0.25">
      <c r="A5329" t="s">
        <v>583</v>
      </c>
      <c r="B5329" t="s">
        <v>23</v>
      </c>
      <c r="C5329" s="2">
        <f>HYPERLINK("https://svao.dolgi.msk.ru/account/1760237558/", 1760237558)</f>
        <v>1760237558</v>
      </c>
      <c r="D5329">
        <v>5861.87</v>
      </c>
    </row>
    <row r="5330" spans="1:4" x14ac:dyDescent="0.25">
      <c r="A5330" t="s">
        <v>583</v>
      </c>
      <c r="B5330" t="s">
        <v>124</v>
      </c>
      <c r="C5330" s="2">
        <f>HYPERLINK("https://svao.dolgi.msk.ru/account/1760237566/", 1760237566)</f>
        <v>1760237566</v>
      </c>
      <c r="D5330">
        <v>6301.17</v>
      </c>
    </row>
    <row r="5331" spans="1:4" x14ac:dyDescent="0.25">
      <c r="A5331" t="s">
        <v>583</v>
      </c>
      <c r="B5331" t="s">
        <v>117</v>
      </c>
      <c r="C5331" s="2">
        <f>HYPERLINK("https://svao.dolgi.msk.ru/account/1760237574/", 1760237574)</f>
        <v>1760237574</v>
      </c>
      <c r="D5331">
        <v>4066.14</v>
      </c>
    </row>
    <row r="5332" spans="1:4" x14ac:dyDescent="0.25">
      <c r="A5332" t="s">
        <v>583</v>
      </c>
      <c r="B5332" t="s">
        <v>314</v>
      </c>
      <c r="C5332" s="2">
        <f>HYPERLINK("https://svao.dolgi.msk.ru/account/1760237638/", 1760237638)</f>
        <v>1760237638</v>
      </c>
      <c r="D5332">
        <v>2075.4699999999998</v>
      </c>
    </row>
    <row r="5333" spans="1:4" x14ac:dyDescent="0.25">
      <c r="A5333" t="s">
        <v>583</v>
      </c>
      <c r="B5333" t="s">
        <v>95</v>
      </c>
      <c r="C5333" s="2">
        <f>HYPERLINK("https://svao.dolgi.msk.ru/account/1760237654/", 1760237654)</f>
        <v>1760237654</v>
      </c>
      <c r="D5333">
        <v>895.02</v>
      </c>
    </row>
    <row r="5334" spans="1:4" x14ac:dyDescent="0.25">
      <c r="A5334" t="s">
        <v>583</v>
      </c>
      <c r="B5334" t="s">
        <v>118</v>
      </c>
      <c r="C5334" s="2">
        <f>HYPERLINK("https://svao.dolgi.msk.ru/account/1760237726/", 1760237726)</f>
        <v>1760237726</v>
      </c>
      <c r="D5334">
        <v>134.94</v>
      </c>
    </row>
    <row r="5335" spans="1:4" x14ac:dyDescent="0.25">
      <c r="A5335" t="s">
        <v>583</v>
      </c>
      <c r="B5335" t="s">
        <v>81</v>
      </c>
      <c r="C5335" s="2">
        <f>HYPERLINK("https://svao.dolgi.msk.ru/account/1760237742/", 1760237742)</f>
        <v>1760237742</v>
      </c>
      <c r="D5335">
        <v>2812.59</v>
      </c>
    </row>
    <row r="5336" spans="1:4" x14ac:dyDescent="0.25">
      <c r="A5336" t="s">
        <v>583</v>
      </c>
      <c r="B5336" t="s">
        <v>119</v>
      </c>
      <c r="C5336" s="2">
        <f>HYPERLINK("https://svao.dolgi.msk.ru/account/1760237769/", 1760237769)</f>
        <v>1760237769</v>
      </c>
      <c r="D5336">
        <v>10535.24</v>
      </c>
    </row>
    <row r="5337" spans="1:4" x14ac:dyDescent="0.25">
      <c r="A5337" t="s">
        <v>583</v>
      </c>
      <c r="B5337" t="s">
        <v>133</v>
      </c>
      <c r="C5337" s="2">
        <f>HYPERLINK("https://svao.dolgi.msk.ru/account/1760237857/", 1760237857)</f>
        <v>1760237857</v>
      </c>
      <c r="D5337">
        <v>8777.02</v>
      </c>
    </row>
    <row r="5338" spans="1:4" x14ac:dyDescent="0.25">
      <c r="A5338" t="s">
        <v>583</v>
      </c>
      <c r="B5338" t="s">
        <v>290</v>
      </c>
      <c r="C5338" s="2">
        <f>HYPERLINK("https://svao.dolgi.msk.ru/account/1760237881/", 1760237881)</f>
        <v>1760237881</v>
      </c>
      <c r="D5338">
        <v>4893.78</v>
      </c>
    </row>
    <row r="5339" spans="1:4" x14ac:dyDescent="0.25">
      <c r="A5339" t="s">
        <v>583</v>
      </c>
      <c r="B5339" t="s">
        <v>97</v>
      </c>
      <c r="C5339" s="2">
        <f>HYPERLINK("https://svao.dolgi.msk.ru/account/1760238016/", 1760238016)</f>
        <v>1760238016</v>
      </c>
      <c r="D5339">
        <v>168074.83</v>
      </c>
    </row>
    <row r="5340" spans="1:4" x14ac:dyDescent="0.25">
      <c r="A5340" t="s">
        <v>584</v>
      </c>
      <c r="B5340" t="s">
        <v>102</v>
      </c>
      <c r="C5340" s="2">
        <f>HYPERLINK("https://svao.dolgi.msk.ru/account/1760236002/", 1760236002)</f>
        <v>1760236002</v>
      </c>
      <c r="D5340">
        <v>8380.81</v>
      </c>
    </row>
    <row r="5341" spans="1:4" x14ac:dyDescent="0.25">
      <c r="A5341" t="s">
        <v>584</v>
      </c>
      <c r="B5341" t="s">
        <v>8</v>
      </c>
      <c r="C5341" s="2">
        <f>HYPERLINK("https://svao.dolgi.msk.ru/account/1760236053/", 1760236053)</f>
        <v>1760236053</v>
      </c>
      <c r="D5341">
        <v>8860.3700000000008</v>
      </c>
    </row>
    <row r="5342" spans="1:4" x14ac:dyDescent="0.25">
      <c r="A5342" t="s">
        <v>584</v>
      </c>
      <c r="B5342" t="s">
        <v>219</v>
      </c>
      <c r="C5342" s="2">
        <f>HYPERLINK("https://svao.dolgi.msk.ru/account/1760236133/", 1760236133)</f>
        <v>1760236133</v>
      </c>
      <c r="D5342">
        <v>4114.13</v>
      </c>
    </row>
    <row r="5343" spans="1:4" x14ac:dyDescent="0.25">
      <c r="A5343" t="s">
        <v>584</v>
      </c>
      <c r="B5343" t="s">
        <v>12</v>
      </c>
      <c r="C5343" s="2">
        <f>HYPERLINK("https://svao.dolgi.msk.ru/account/1760236168/", 1760236168)</f>
        <v>1760236168</v>
      </c>
      <c r="D5343">
        <v>2126.9</v>
      </c>
    </row>
    <row r="5344" spans="1:4" x14ac:dyDescent="0.25">
      <c r="A5344" t="s">
        <v>584</v>
      </c>
      <c r="B5344" t="s">
        <v>14</v>
      </c>
      <c r="C5344" s="2">
        <f>HYPERLINK("https://svao.dolgi.msk.ru/account/1760236184/", 1760236184)</f>
        <v>1760236184</v>
      </c>
      <c r="D5344">
        <v>2541.81</v>
      </c>
    </row>
    <row r="5345" spans="1:4" x14ac:dyDescent="0.25">
      <c r="A5345" t="s">
        <v>584</v>
      </c>
      <c r="B5345" t="s">
        <v>15</v>
      </c>
      <c r="C5345" s="2">
        <f>HYPERLINK("https://svao.dolgi.msk.ru/account/1760236213/", 1760236213)</f>
        <v>1760236213</v>
      </c>
      <c r="D5345">
        <v>2650.34</v>
      </c>
    </row>
    <row r="5346" spans="1:4" x14ac:dyDescent="0.25">
      <c r="A5346" t="s">
        <v>584</v>
      </c>
      <c r="B5346" t="s">
        <v>17</v>
      </c>
      <c r="C5346" s="2">
        <f>HYPERLINK("https://svao.dolgi.msk.ru/account/1760236256/", 1760236256)</f>
        <v>1760236256</v>
      </c>
      <c r="D5346">
        <v>3148.65</v>
      </c>
    </row>
    <row r="5347" spans="1:4" x14ac:dyDescent="0.25">
      <c r="A5347" t="s">
        <v>584</v>
      </c>
      <c r="B5347" t="s">
        <v>109</v>
      </c>
      <c r="C5347" s="2">
        <f>HYPERLINK("https://svao.dolgi.msk.ru/account/1760236299/", 1760236299)</f>
        <v>1760236299</v>
      </c>
      <c r="D5347">
        <v>2980.06</v>
      </c>
    </row>
    <row r="5348" spans="1:4" x14ac:dyDescent="0.25">
      <c r="A5348" t="s">
        <v>584</v>
      </c>
      <c r="B5348" t="s">
        <v>20</v>
      </c>
      <c r="C5348" s="2">
        <f>HYPERLINK("https://svao.dolgi.msk.ru/account/1760236328/", 1760236328)</f>
        <v>1760236328</v>
      </c>
      <c r="D5348">
        <v>6418.52</v>
      </c>
    </row>
    <row r="5349" spans="1:4" x14ac:dyDescent="0.25">
      <c r="A5349" t="s">
        <v>584</v>
      </c>
      <c r="B5349" t="s">
        <v>92</v>
      </c>
      <c r="C5349" s="2">
        <f>HYPERLINK("https://svao.dolgi.msk.ru/account/1760236344/", 1760236344)</f>
        <v>1760236344</v>
      </c>
      <c r="D5349">
        <v>5513.96</v>
      </c>
    </row>
    <row r="5350" spans="1:4" x14ac:dyDescent="0.25">
      <c r="A5350" t="s">
        <v>584</v>
      </c>
      <c r="B5350" t="s">
        <v>93</v>
      </c>
      <c r="C5350" s="2">
        <f>HYPERLINK("https://svao.dolgi.msk.ru/account/1760236352/", 1760236352)</f>
        <v>1760236352</v>
      </c>
      <c r="D5350">
        <v>1225.97</v>
      </c>
    </row>
    <row r="5351" spans="1:4" x14ac:dyDescent="0.25">
      <c r="A5351" t="s">
        <v>584</v>
      </c>
      <c r="B5351" t="s">
        <v>113</v>
      </c>
      <c r="C5351" s="2">
        <f>HYPERLINK("https://svao.dolgi.msk.ru/account/1760236408/", 1760236408)</f>
        <v>1760236408</v>
      </c>
      <c r="D5351">
        <v>2784.72</v>
      </c>
    </row>
    <row r="5352" spans="1:4" x14ac:dyDescent="0.25">
      <c r="A5352" t="s">
        <v>584</v>
      </c>
      <c r="B5352" t="s">
        <v>79</v>
      </c>
      <c r="C5352" s="2">
        <f>HYPERLINK("https://svao.dolgi.msk.ru/account/1760236483/", 1760236483)</f>
        <v>1760236483</v>
      </c>
      <c r="D5352">
        <v>4442.8500000000004</v>
      </c>
    </row>
    <row r="5353" spans="1:4" x14ac:dyDescent="0.25">
      <c r="A5353" t="s">
        <v>584</v>
      </c>
      <c r="B5353" t="s">
        <v>23</v>
      </c>
      <c r="C5353" s="2">
        <f>HYPERLINK("https://svao.dolgi.msk.ru/account/1760236491/", 1760236491)</f>
        <v>1760236491</v>
      </c>
      <c r="D5353">
        <v>2710.88</v>
      </c>
    </row>
    <row r="5354" spans="1:4" x14ac:dyDescent="0.25">
      <c r="A5354" t="s">
        <v>584</v>
      </c>
      <c r="B5354" t="s">
        <v>124</v>
      </c>
      <c r="C5354" s="2">
        <f>HYPERLINK("https://svao.dolgi.msk.ru/account/1760236504/", 1760236504)</f>
        <v>1760236504</v>
      </c>
      <c r="D5354">
        <v>6009.65</v>
      </c>
    </row>
    <row r="5355" spans="1:4" x14ac:dyDescent="0.25">
      <c r="A5355" t="s">
        <v>584</v>
      </c>
      <c r="B5355" t="s">
        <v>320</v>
      </c>
      <c r="C5355" s="2">
        <f>HYPERLINK("https://svao.dolgi.msk.ru/account/1760236547/", 1760236547)</f>
        <v>1760236547</v>
      </c>
      <c r="D5355">
        <v>10029.57</v>
      </c>
    </row>
    <row r="5356" spans="1:4" x14ac:dyDescent="0.25">
      <c r="A5356" t="s">
        <v>584</v>
      </c>
      <c r="B5356" t="s">
        <v>24</v>
      </c>
      <c r="C5356" s="2">
        <f>HYPERLINK("https://svao.dolgi.msk.ru/account/1760236555/", 1760236555)</f>
        <v>1760236555</v>
      </c>
      <c r="D5356">
        <v>6141.45</v>
      </c>
    </row>
    <row r="5357" spans="1:4" x14ac:dyDescent="0.25">
      <c r="A5357" t="s">
        <v>584</v>
      </c>
      <c r="B5357" t="s">
        <v>131</v>
      </c>
      <c r="C5357" s="2">
        <f>HYPERLINK("https://svao.dolgi.msk.ru/account/1760236619/", 1760236619)</f>
        <v>1760236619</v>
      </c>
      <c r="D5357">
        <v>3414.97</v>
      </c>
    </row>
    <row r="5358" spans="1:4" x14ac:dyDescent="0.25">
      <c r="A5358" t="s">
        <v>584</v>
      </c>
      <c r="B5358" t="s">
        <v>126</v>
      </c>
      <c r="C5358" s="2">
        <f>HYPERLINK("https://svao.dolgi.msk.ru/account/1760236635/", 1760236635)</f>
        <v>1760236635</v>
      </c>
      <c r="D5358">
        <v>5358.38</v>
      </c>
    </row>
    <row r="5359" spans="1:4" x14ac:dyDescent="0.25">
      <c r="A5359" t="s">
        <v>584</v>
      </c>
      <c r="B5359" t="s">
        <v>127</v>
      </c>
      <c r="C5359" s="2">
        <f>HYPERLINK("https://svao.dolgi.msk.ru/account/1760236678/", 1760236678)</f>
        <v>1760236678</v>
      </c>
      <c r="D5359">
        <v>1751.76</v>
      </c>
    </row>
    <row r="5360" spans="1:4" x14ac:dyDescent="0.25">
      <c r="A5360" t="s">
        <v>584</v>
      </c>
      <c r="B5360" t="s">
        <v>120</v>
      </c>
      <c r="C5360" s="2">
        <f>HYPERLINK("https://svao.dolgi.msk.ru/account/1760236707/", 1760236707)</f>
        <v>1760236707</v>
      </c>
      <c r="D5360">
        <v>5404.74</v>
      </c>
    </row>
    <row r="5361" spans="1:4" x14ac:dyDescent="0.25">
      <c r="A5361" t="s">
        <v>584</v>
      </c>
      <c r="B5361" t="s">
        <v>82</v>
      </c>
      <c r="C5361" s="2">
        <f>HYPERLINK("https://svao.dolgi.msk.ru/account/1760236715/", 1760236715)</f>
        <v>1760236715</v>
      </c>
      <c r="D5361">
        <v>5408.56</v>
      </c>
    </row>
    <row r="5362" spans="1:4" x14ac:dyDescent="0.25">
      <c r="A5362" t="s">
        <v>584</v>
      </c>
      <c r="B5362" t="s">
        <v>121</v>
      </c>
      <c r="C5362" s="2">
        <f>HYPERLINK("https://svao.dolgi.msk.ru/account/1760236854/", 1760236854)</f>
        <v>1760236854</v>
      </c>
      <c r="D5362">
        <v>52169.33</v>
      </c>
    </row>
    <row r="5363" spans="1:4" x14ac:dyDescent="0.25">
      <c r="A5363" t="s">
        <v>584</v>
      </c>
      <c r="B5363" t="s">
        <v>139</v>
      </c>
      <c r="C5363" s="2">
        <f>HYPERLINK("https://svao.dolgi.msk.ru/account/1761792983/", 1761792983)</f>
        <v>1761792983</v>
      </c>
      <c r="D5363">
        <v>23313.95</v>
      </c>
    </row>
    <row r="5364" spans="1:4" x14ac:dyDescent="0.25">
      <c r="A5364" t="s">
        <v>585</v>
      </c>
      <c r="B5364" t="s">
        <v>6</v>
      </c>
      <c r="C5364" s="2">
        <f>HYPERLINK("https://svao.dolgi.msk.ru/account/1760035729/", 1760035729)</f>
        <v>1760035729</v>
      </c>
      <c r="D5364">
        <v>1310.0899999999999</v>
      </c>
    </row>
    <row r="5365" spans="1:4" x14ac:dyDescent="0.25">
      <c r="A5365" t="s">
        <v>585</v>
      </c>
      <c r="B5365" t="s">
        <v>6</v>
      </c>
      <c r="C5365" s="2">
        <f>HYPERLINK("https://svao.dolgi.msk.ru/account/1761792481/", 1761792481)</f>
        <v>1761792481</v>
      </c>
      <c r="D5365">
        <v>4699.1099999999997</v>
      </c>
    </row>
    <row r="5366" spans="1:4" x14ac:dyDescent="0.25">
      <c r="A5366" t="s">
        <v>585</v>
      </c>
      <c r="B5366" t="s">
        <v>5</v>
      </c>
      <c r="C5366" s="2">
        <f>HYPERLINK("https://svao.dolgi.msk.ru/account/1760035761/", 1760035761)</f>
        <v>1760035761</v>
      </c>
      <c r="D5366">
        <v>1759.99</v>
      </c>
    </row>
    <row r="5367" spans="1:4" x14ac:dyDescent="0.25">
      <c r="A5367" t="s">
        <v>585</v>
      </c>
      <c r="B5367" t="s">
        <v>7</v>
      </c>
      <c r="C5367" s="2">
        <f>HYPERLINK("https://svao.dolgi.msk.ru/account/1760035737/", 1760035737)</f>
        <v>1760035737</v>
      </c>
      <c r="D5367">
        <v>20136.830000000002</v>
      </c>
    </row>
    <row r="5368" spans="1:4" x14ac:dyDescent="0.25">
      <c r="A5368" t="s">
        <v>585</v>
      </c>
      <c r="B5368" t="s">
        <v>7</v>
      </c>
      <c r="C5368" s="2">
        <f>HYPERLINK("https://svao.dolgi.msk.ru/account/1760035788/", 1760035788)</f>
        <v>1760035788</v>
      </c>
      <c r="D5368">
        <v>24958.240000000002</v>
      </c>
    </row>
    <row r="5369" spans="1:4" x14ac:dyDescent="0.25">
      <c r="A5369" t="s">
        <v>585</v>
      </c>
      <c r="B5369" t="s">
        <v>7</v>
      </c>
      <c r="C5369" s="2">
        <f>HYPERLINK("https://svao.dolgi.msk.ru/account/1760035809/", 1760035809)</f>
        <v>1760035809</v>
      </c>
      <c r="D5369">
        <v>180411.57</v>
      </c>
    </row>
    <row r="5370" spans="1:4" x14ac:dyDescent="0.25">
      <c r="A5370" t="s">
        <v>585</v>
      </c>
      <c r="B5370" t="s">
        <v>7</v>
      </c>
      <c r="C5370" s="2">
        <f>HYPERLINK("https://svao.dolgi.msk.ru/account/1760255422/", 1760255422)</f>
        <v>1760255422</v>
      </c>
      <c r="D5370">
        <v>186311.64</v>
      </c>
    </row>
    <row r="5371" spans="1:4" x14ac:dyDescent="0.25">
      <c r="A5371" t="s">
        <v>585</v>
      </c>
      <c r="B5371" t="s">
        <v>8</v>
      </c>
      <c r="C5371" s="2">
        <f>HYPERLINK("https://svao.dolgi.msk.ru/account/1760035884/", 1760035884)</f>
        <v>1760035884</v>
      </c>
      <c r="D5371">
        <v>1629.17</v>
      </c>
    </row>
    <row r="5372" spans="1:4" x14ac:dyDescent="0.25">
      <c r="A5372" t="s">
        <v>585</v>
      </c>
      <c r="B5372" t="s">
        <v>137</v>
      </c>
      <c r="C5372" s="2">
        <f>HYPERLINK("https://svao.dolgi.msk.ru/account/1760035921/", 1760035921)</f>
        <v>1760035921</v>
      </c>
      <c r="D5372">
        <v>6386.72</v>
      </c>
    </row>
    <row r="5373" spans="1:4" x14ac:dyDescent="0.25">
      <c r="A5373" t="s">
        <v>585</v>
      </c>
      <c r="B5373" t="s">
        <v>91</v>
      </c>
      <c r="C5373" s="2">
        <f>HYPERLINK("https://svao.dolgi.msk.ru/account/1760035964/", 1760035964)</f>
        <v>1760035964</v>
      </c>
      <c r="D5373">
        <v>77470.95</v>
      </c>
    </row>
    <row r="5374" spans="1:4" x14ac:dyDescent="0.25">
      <c r="A5374" t="s">
        <v>585</v>
      </c>
      <c r="B5374" t="s">
        <v>219</v>
      </c>
      <c r="C5374" s="2">
        <f>HYPERLINK("https://svao.dolgi.msk.ru/account/1760035999/", 1760035999)</f>
        <v>1760035999</v>
      </c>
      <c r="D5374">
        <v>23969.31</v>
      </c>
    </row>
    <row r="5375" spans="1:4" x14ac:dyDescent="0.25">
      <c r="A5375" t="s">
        <v>585</v>
      </c>
      <c r="B5375" t="s">
        <v>11</v>
      </c>
      <c r="C5375" s="2">
        <f>HYPERLINK("https://svao.dolgi.msk.ru/account/1760036019/", 1760036019)</f>
        <v>1760036019</v>
      </c>
      <c r="D5375">
        <v>13216.35</v>
      </c>
    </row>
    <row r="5376" spans="1:4" x14ac:dyDescent="0.25">
      <c r="A5376" t="s">
        <v>585</v>
      </c>
      <c r="B5376" t="s">
        <v>12</v>
      </c>
      <c r="C5376" s="2">
        <f>HYPERLINK("https://svao.dolgi.msk.ru/account/1760036027/", 1760036027)</f>
        <v>1760036027</v>
      </c>
      <c r="D5376">
        <v>5483.83</v>
      </c>
    </row>
    <row r="5377" spans="1:4" x14ac:dyDescent="0.25">
      <c r="A5377" t="s">
        <v>585</v>
      </c>
      <c r="B5377" t="s">
        <v>13</v>
      </c>
      <c r="C5377" s="2">
        <f>HYPERLINK("https://svao.dolgi.msk.ru/account/1760036035/", 1760036035)</f>
        <v>1760036035</v>
      </c>
      <c r="D5377">
        <v>3858.32</v>
      </c>
    </row>
    <row r="5378" spans="1:4" x14ac:dyDescent="0.25">
      <c r="A5378" t="s">
        <v>585</v>
      </c>
      <c r="B5378" t="s">
        <v>15</v>
      </c>
      <c r="C5378" s="2">
        <f>HYPERLINK("https://svao.dolgi.msk.ru/account/1761790187/", 1761790187)</f>
        <v>1761790187</v>
      </c>
      <c r="D5378">
        <v>3880.9</v>
      </c>
    </row>
    <row r="5379" spans="1:4" x14ac:dyDescent="0.25">
      <c r="A5379" t="s">
        <v>585</v>
      </c>
      <c r="B5379" t="s">
        <v>16</v>
      </c>
      <c r="C5379" s="2">
        <f>HYPERLINK("https://svao.dolgi.msk.ru/account/1760036107/", 1760036107)</f>
        <v>1760036107</v>
      </c>
      <c r="D5379">
        <v>40925.879999999997</v>
      </c>
    </row>
    <row r="5380" spans="1:4" x14ac:dyDescent="0.25">
      <c r="A5380" t="s">
        <v>585</v>
      </c>
      <c r="B5380" t="s">
        <v>18</v>
      </c>
      <c r="C5380" s="2">
        <f>HYPERLINK("https://svao.dolgi.msk.ru/account/1760036123/", 1760036123)</f>
        <v>1760036123</v>
      </c>
      <c r="D5380">
        <v>7332.98</v>
      </c>
    </row>
    <row r="5381" spans="1:4" x14ac:dyDescent="0.25">
      <c r="A5381" t="s">
        <v>585</v>
      </c>
      <c r="B5381" t="s">
        <v>110</v>
      </c>
      <c r="C5381" s="2">
        <f>HYPERLINK("https://svao.dolgi.msk.ru/account/1760036166/", 1760036166)</f>
        <v>1760036166</v>
      </c>
      <c r="D5381">
        <v>33350.449999999997</v>
      </c>
    </row>
    <row r="5382" spans="1:4" x14ac:dyDescent="0.25">
      <c r="A5382" t="s">
        <v>585</v>
      </c>
      <c r="B5382" t="s">
        <v>76</v>
      </c>
      <c r="C5382" s="2">
        <f>HYPERLINK("https://svao.dolgi.msk.ru/account/1760036182/", 1760036182)</f>
        <v>1760036182</v>
      </c>
      <c r="D5382">
        <v>341.7</v>
      </c>
    </row>
    <row r="5383" spans="1:4" x14ac:dyDescent="0.25">
      <c r="A5383" t="s">
        <v>585</v>
      </c>
      <c r="B5383" t="s">
        <v>21</v>
      </c>
      <c r="C5383" s="2">
        <f>HYPERLINK("https://svao.dolgi.msk.ru/account/1760036297/", 1760036297)</f>
        <v>1760036297</v>
      </c>
      <c r="D5383">
        <v>6267.65</v>
      </c>
    </row>
    <row r="5384" spans="1:4" x14ac:dyDescent="0.25">
      <c r="A5384" t="s">
        <v>585</v>
      </c>
      <c r="B5384" t="s">
        <v>22</v>
      </c>
      <c r="C5384" s="2">
        <f>HYPERLINK("https://svao.dolgi.msk.ru/account/1760036342/", 1760036342)</f>
        <v>1760036342</v>
      </c>
      <c r="D5384">
        <v>14986.5</v>
      </c>
    </row>
    <row r="5385" spans="1:4" x14ac:dyDescent="0.25">
      <c r="A5385" t="s">
        <v>585</v>
      </c>
      <c r="B5385" t="s">
        <v>117</v>
      </c>
      <c r="C5385" s="2">
        <f>HYPERLINK("https://svao.dolgi.msk.ru/account/1760036393/", 1760036393)</f>
        <v>1760036393</v>
      </c>
      <c r="D5385">
        <v>12563.64</v>
      </c>
    </row>
    <row r="5386" spans="1:4" x14ac:dyDescent="0.25">
      <c r="A5386" t="s">
        <v>585</v>
      </c>
      <c r="B5386" t="s">
        <v>115</v>
      </c>
      <c r="C5386" s="2">
        <f>HYPERLINK("https://svao.dolgi.msk.ru/account/1760036406/", 1760036406)</f>
        <v>1760036406</v>
      </c>
      <c r="D5386">
        <v>5319.85</v>
      </c>
    </row>
    <row r="5387" spans="1:4" x14ac:dyDescent="0.25">
      <c r="A5387" t="s">
        <v>585</v>
      </c>
      <c r="B5387" t="s">
        <v>95</v>
      </c>
      <c r="C5387" s="2">
        <f>HYPERLINK("https://svao.dolgi.msk.ru/account/1760036465/", 1760036465)</f>
        <v>1760036465</v>
      </c>
      <c r="D5387">
        <v>9420.7999999999993</v>
      </c>
    </row>
    <row r="5388" spans="1:4" x14ac:dyDescent="0.25">
      <c r="A5388" t="s">
        <v>585</v>
      </c>
      <c r="B5388" t="s">
        <v>131</v>
      </c>
      <c r="C5388" s="2">
        <f>HYPERLINK("https://svao.dolgi.msk.ru/account/1760036473/", 1760036473)</f>
        <v>1760036473</v>
      </c>
      <c r="D5388">
        <v>6542.76</v>
      </c>
    </row>
    <row r="5389" spans="1:4" x14ac:dyDescent="0.25">
      <c r="A5389" t="s">
        <v>585</v>
      </c>
      <c r="B5389" t="s">
        <v>118</v>
      </c>
      <c r="C5389" s="2">
        <f>HYPERLINK("https://svao.dolgi.msk.ru/account/1760036537/", 1760036537)</f>
        <v>1760036537</v>
      </c>
      <c r="D5389">
        <v>9776.75</v>
      </c>
    </row>
    <row r="5390" spans="1:4" x14ac:dyDescent="0.25">
      <c r="A5390" t="s">
        <v>585</v>
      </c>
      <c r="B5390" t="s">
        <v>120</v>
      </c>
      <c r="C5390" s="2">
        <f>HYPERLINK("https://svao.dolgi.msk.ru/account/1760036588/", 1760036588)</f>
        <v>1760036588</v>
      </c>
      <c r="D5390">
        <v>4586.6499999999996</v>
      </c>
    </row>
    <row r="5391" spans="1:4" x14ac:dyDescent="0.25">
      <c r="A5391" t="s">
        <v>585</v>
      </c>
      <c r="B5391" t="s">
        <v>132</v>
      </c>
      <c r="C5391" s="2">
        <f>HYPERLINK("https://svao.dolgi.msk.ru/account/1760036633/", 1760036633)</f>
        <v>1760036633</v>
      </c>
      <c r="D5391">
        <v>3145.4</v>
      </c>
    </row>
    <row r="5392" spans="1:4" x14ac:dyDescent="0.25">
      <c r="A5392" t="s">
        <v>585</v>
      </c>
      <c r="B5392" t="s">
        <v>139</v>
      </c>
      <c r="C5392" s="2">
        <f>HYPERLINK("https://svao.dolgi.msk.ru/account/1760036748/", 1760036748)</f>
        <v>1760036748</v>
      </c>
      <c r="D5392">
        <v>7409.57</v>
      </c>
    </row>
    <row r="5393" spans="1:4" x14ac:dyDescent="0.25">
      <c r="A5393" t="s">
        <v>585</v>
      </c>
      <c r="B5393" t="s">
        <v>29</v>
      </c>
      <c r="C5393" s="2">
        <f>HYPERLINK("https://svao.dolgi.msk.ru/account/1760036764/", 1760036764)</f>
        <v>1760036764</v>
      </c>
      <c r="D5393">
        <v>246433.87</v>
      </c>
    </row>
    <row r="5394" spans="1:4" x14ac:dyDescent="0.25">
      <c r="A5394" t="s">
        <v>585</v>
      </c>
      <c r="B5394" t="s">
        <v>129</v>
      </c>
      <c r="C5394" s="2">
        <f>HYPERLINK("https://svao.dolgi.msk.ru/account/1760036799/", 1760036799)</f>
        <v>1760036799</v>
      </c>
      <c r="D5394">
        <v>6793.95</v>
      </c>
    </row>
    <row r="5395" spans="1:4" x14ac:dyDescent="0.25">
      <c r="A5395" t="s">
        <v>585</v>
      </c>
      <c r="B5395" t="s">
        <v>32</v>
      </c>
      <c r="C5395" s="2">
        <f>HYPERLINK("https://svao.dolgi.msk.ru/account/1760036908/", 1760036908)</f>
        <v>1760036908</v>
      </c>
      <c r="D5395">
        <v>9569.68</v>
      </c>
    </row>
    <row r="5396" spans="1:4" x14ac:dyDescent="0.25">
      <c r="A5396" t="s">
        <v>585</v>
      </c>
      <c r="B5396" t="s">
        <v>33</v>
      </c>
      <c r="C5396" s="2">
        <f>HYPERLINK("https://svao.dolgi.msk.ru/account/1760036924/", 1760036924)</f>
        <v>1760036924</v>
      </c>
      <c r="D5396">
        <v>49428.83</v>
      </c>
    </row>
    <row r="5397" spans="1:4" x14ac:dyDescent="0.25">
      <c r="A5397" t="s">
        <v>585</v>
      </c>
      <c r="B5397" t="s">
        <v>34</v>
      </c>
      <c r="C5397" s="2">
        <f>HYPERLINK("https://svao.dolgi.msk.ru/account/1760036932/", 1760036932)</f>
        <v>1760036932</v>
      </c>
      <c r="D5397">
        <v>5209.7</v>
      </c>
    </row>
    <row r="5398" spans="1:4" x14ac:dyDescent="0.25">
      <c r="A5398" t="s">
        <v>585</v>
      </c>
      <c r="B5398" t="s">
        <v>36</v>
      </c>
      <c r="C5398" s="2">
        <f>HYPERLINK("https://svao.dolgi.msk.ru/account/1760037011/", 1760037011)</f>
        <v>1760037011</v>
      </c>
      <c r="D5398">
        <v>5951.45</v>
      </c>
    </row>
    <row r="5399" spans="1:4" x14ac:dyDescent="0.25">
      <c r="A5399" t="s">
        <v>585</v>
      </c>
      <c r="B5399" t="s">
        <v>304</v>
      </c>
      <c r="C5399" s="2">
        <f>HYPERLINK("https://svao.dolgi.msk.ru/account/1760037054/", 1760037054)</f>
        <v>1760037054</v>
      </c>
      <c r="D5399">
        <v>5866.15</v>
      </c>
    </row>
    <row r="5400" spans="1:4" x14ac:dyDescent="0.25">
      <c r="A5400" t="s">
        <v>585</v>
      </c>
      <c r="B5400" t="s">
        <v>37</v>
      </c>
      <c r="C5400" s="2">
        <f>HYPERLINK("https://svao.dolgi.msk.ru/account/1760037062/", 1760037062)</f>
        <v>1760037062</v>
      </c>
      <c r="D5400">
        <v>4889.71</v>
      </c>
    </row>
    <row r="5401" spans="1:4" x14ac:dyDescent="0.25">
      <c r="A5401" t="s">
        <v>585</v>
      </c>
      <c r="B5401" t="s">
        <v>246</v>
      </c>
      <c r="C5401" s="2">
        <f>HYPERLINK("https://svao.dolgi.msk.ru/account/1760037097/", 1760037097)</f>
        <v>1760037097</v>
      </c>
      <c r="D5401">
        <v>9612.2199999999993</v>
      </c>
    </row>
    <row r="5402" spans="1:4" x14ac:dyDescent="0.25">
      <c r="A5402" t="s">
        <v>585</v>
      </c>
      <c r="B5402" t="s">
        <v>43</v>
      </c>
      <c r="C5402" s="2">
        <f>HYPERLINK("https://svao.dolgi.msk.ru/account/1760037126/", 1760037126)</f>
        <v>1760037126</v>
      </c>
      <c r="D5402">
        <v>3509.79</v>
      </c>
    </row>
    <row r="5403" spans="1:4" x14ac:dyDescent="0.25">
      <c r="A5403" t="s">
        <v>585</v>
      </c>
      <c r="B5403" t="s">
        <v>89</v>
      </c>
      <c r="C5403" s="2">
        <f>HYPERLINK("https://svao.dolgi.msk.ru/account/1760037169/", 1760037169)</f>
        <v>1760037169</v>
      </c>
      <c r="D5403">
        <v>374.95</v>
      </c>
    </row>
    <row r="5404" spans="1:4" x14ac:dyDescent="0.25">
      <c r="A5404" t="s">
        <v>585</v>
      </c>
      <c r="B5404" t="s">
        <v>247</v>
      </c>
      <c r="C5404" s="2">
        <f>HYPERLINK("https://svao.dolgi.msk.ru/account/1760037185/", 1760037185)</f>
        <v>1760037185</v>
      </c>
      <c r="D5404">
        <v>10638.04</v>
      </c>
    </row>
    <row r="5405" spans="1:4" x14ac:dyDescent="0.25">
      <c r="A5405" t="s">
        <v>585</v>
      </c>
      <c r="B5405" t="s">
        <v>143</v>
      </c>
      <c r="C5405" s="2">
        <f>HYPERLINK("https://svao.dolgi.msk.ru/account/1760037206/", 1760037206)</f>
        <v>1760037206</v>
      </c>
      <c r="D5405">
        <v>3293.94</v>
      </c>
    </row>
    <row r="5406" spans="1:4" x14ac:dyDescent="0.25">
      <c r="A5406" t="s">
        <v>585</v>
      </c>
      <c r="B5406" t="s">
        <v>315</v>
      </c>
      <c r="C5406" s="2">
        <f>HYPERLINK("https://svao.dolgi.msk.ru/account/1760037249/", 1760037249)</f>
        <v>1760037249</v>
      </c>
      <c r="D5406">
        <v>6630.28</v>
      </c>
    </row>
    <row r="5407" spans="1:4" x14ac:dyDescent="0.25">
      <c r="A5407" t="s">
        <v>585</v>
      </c>
      <c r="B5407" t="s">
        <v>301</v>
      </c>
      <c r="C5407" s="2">
        <f>HYPERLINK("https://svao.dolgi.msk.ru/account/1760037257/", 1760037257)</f>
        <v>1760037257</v>
      </c>
      <c r="D5407">
        <v>9555.74</v>
      </c>
    </row>
    <row r="5408" spans="1:4" x14ac:dyDescent="0.25">
      <c r="A5408" t="s">
        <v>585</v>
      </c>
      <c r="B5408" t="s">
        <v>46</v>
      </c>
      <c r="C5408" s="2">
        <f>HYPERLINK("https://svao.dolgi.msk.ru/account/1760037273/", 1760037273)</f>
        <v>1760037273</v>
      </c>
      <c r="D5408">
        <v>6497.3</v>
      </c>
    </row>
    <row r="5409" spans="1:4" x14ac:dyDescent="0.25">
      <c r="A5409" t="s">
        <v>585</v>
      </c>
      <c r="B5409" t="s">
        <v>339</v>
      </c>
      <c r="C5409" s="2">
        <f>HYPERLINK("https://svao.dolgi.msk.ru/account/1760037329/", 1760037329)</f>
        <v>1760037329</v>
      </c>
      <c r="D5409">
        <v>6335.69</v>
      </c>
    </row>
    <row r="5410" spans="1:4" x14ac:dyDescent="0.25">
      <c r="A5410" t="s">
        <v>585</v>
      </c>
      <c r="B5410" t="s">
        <v>146</v>
      </c>
      <c r="C5410" s="2">
        <f>HYPERLINK("https://svao.dolgi.msk.ru/account/1760037353/", 1760037353)</f>
        <v>1760037353</v>
      </c>
      <c r="D5410">
        <v>8836.7800000000007</v>
      </c>
    </row>
    <row r="5411" spans="1:4" x14ac:dyDescent="0.25">
      <c r="A5411" t="s">
        <v>585</v>
      </c>
      <c r="B5411" t="s">
        <v>49</v>
      </c>
      <c r="C5411" s="2">
        <f>HYPERLINK("https://svao.dolgi.msk.ru/account/1760037388/", 1760037388)</f>
        <v>1760037388</v>
      </c>
      <c r="D5411">
        <v>6046.46</v>
      </c>
    </row>
    <row r="5412" spans="1:4" x14ac:dyDescent="0.25">
      <c r="A5412" t="s">
        <v>585</v>
      </c>
      <c r="B5412" t="s">
        <v>334</v>
      </c>
      <c r="C5412" s="2">
        <f>HYPERLINK("https://svao.dolgi.msk.ru/account/1760037476/", 1760037476)</f>
        <v>1760037476</v>
      </c>
      <c r="D5412">
        <v>5366.9</v>
      </c>
    </row>
    <row r="5413" spans="1:4" x14ac:dyDescent="0.25">
      <c r="A5413" t="s">
        <v>585</v>
      </c>
      <c r="B5413" t="s">
        <v>52</v>
      </c>
      <c r="C5413" s="2">
        <f>HYPERLINK("https://svao.dolgi.msk.ru/account/1760037492/", 1760037492)</f>
        <v>1760037492</v>
      </c>
      <c r="D5413">
        <v>6467.4</v>
      </c>
    </row>
    <row r="5414" spans="1:4" x14ac:dyDescent="0.25">
      <c r="A5414" t="s">
        <v>585</v>
      </c>
      <c r="B5414" t="s">
        <v>148</v>
      </c>
      <c r="C5414" s="2">
        <f>HYPERLINK("https://svao.dolgi.msk.ru/account/1760037513/", 1760037513)</f>
        <v>1760037513</v>
      </c>
      <c r="D5414">
        <v>25964.71</v>
      </c>
    </row>
    <row r="5415" spans="1:4" x14ac:dyDescent="0.25">
      <c r="A5415" t="s">
        <v>585</v>
      </c>
      <c r="B5415" t="s">
        <v>295</v>
      </c>
      <c r="C5415" s="2">
        <f>HYPERLINK("https://svao.dolgi.msk.ru/account/1760037521/", 1760037521)</f>
        <v>1760037521</v>
      </c>
      <c r="D5415">
        <v>4939.17</v>
      </c>
    </row>
    <row r="5416" spans="1:4" x14ac:dyDescent="0.25">
      <c r="A5416" t="s">
        <v>585</v>
      </c>
      <c r="B5416" t="s">
        <v>307</v>
      </c>
      <c r="C5416" s="2">
        <f>HYPERLINK("https://svao.dolgi.msk.ru/account/1760037556/", 1760037556)</f>
        <v>1760037556</v>
      </c>
      <c r="D5416">
        <v>4680.1099999999997</v>
      </c>
    </row>
    <row r="5417" spans="1:4" x14ac:dyDescent="0.25">
      <c r="A5417" t="s">
        <v>585</v>
      </c>
      <c r="B5417" t="s">
        <v>317</v>
      </c>
      <c r="C5417" s="2">
        <f>HYPERLINK("https://svao.dolgi.msk.ru/account/1760037628/", 1760037628)</f>
        <v>1760037628</v>
      </c>
      <c r="D5417">
        <v>2333.8000000000002</v>
      </c>
    </row>
    <row r="5418" spans="1:4" x14ac:dyDescent="0.25">
      <c r="A5418" t="s">
        <v>585</v>
      </c>
      <c r="B5418" t="s">
        <v>255</v>
      </c>
      <c r="C5418" s="2">
        <f>HYPERLINK("https://svao.dolgi.msk.ru/account/1760037732/", 1760037732)</f>
        <v>1760037732</v>
      </c>
      <c r="D5418">
        <v>7935.65</v>
      </c>
    </row>
    <row r="5419" spans="1:4" x14ac:dyDescent="0.25">
      <c r="A5419" t="s">
        <v>585</v>
      </c>
      <c r="B5419" t="s">
        <v>55</v>
      </c>
      <c r="C5419" s="2">
        <f>HYPERLINK("https://svao.dolgi.msk.ru/account/1760037759/", 1760037759)</f>
        <v>1760037759</v>
      </c>
      <c r="D5419">
        <v>8526.83</v>
      </c>
    </row>
    <row r="5420" spans="1:4" x14ac:dyDescent="0.25">
      <c r="A5420" t="s">
        <v>585</v>
      </c>
      <c r="B5420" t="s">
        <v>56</v>
      </c>
      <c r="C5420" s="2">
        <f>HYPERLINK("https://svao.dolgi.msk.ru/account/1760037804/", 1760037804)</f>
        <v>1760037804</v>
      </c>
      <c r="D5420">
        <v>4771.57</v>
      </c>
    </row>
    <row r="5421" spans="1:4" x14ac:dyDescent="0.25">
      <c r="A5421" t="s">
        <v>585</v>
      </c>
      <c r="B5421" t="s">
        <v>154</v>
      </c>
      <c r="C5421" s="2">
        <f>HYPERLINK("https://svao.dolgi.msk.ru/account/1760037812/", 1760037812)</f>
        <v>1760037812</v>
      </c>
      <c r="D5421">
        <v>8255.14</v>
      </c>
    </row>
    <row r="5422" spans="1:4" x14ac:dyDescent="0.25">
      <c r="A5422" t="s">
        <v>585</v>
      </c>
      <c r="B5422" t="s">
        <v>335</v>
      </c>
      <c r="C5422" s="2">
        <f>HYPERLINK("https://svao.dolgi.msk.ru/account/1760037855/", 1760037855)</f>
        <v>1760037855</v>
      </c>
      <c r="D5422">
        <v>6974.03</v>
      </c>
    </row>
    <row r="5423" spans="1:4" x14ac:dyDescent="0.25">
      <c r="A5423" t="s">
        <v>585</v>
      </c>
      <c r="B5423" t="s">
        <v>377</v>
      </c>
      <c r="C5423" s="2">
        <f>HYPERLINK("https://svao.dolgi.msk.ru/account/1760037951/", 1760037951)</f>
        <v>1760037951</v>
      </c>
      <c r="D5423">
        <v>5220.87</v>
      </c>
    </row>
    <row r="5424" spans="1:4" x14ac:dyDescent="0.25">
      <c r="A5424" t="s">
        <v>585</v>
      </c>
      <c r="B5424" t="s">
        <v>59</v>
      </c>
      <c r="C5424" s="2">
        <f>HYPERLINK("https://svao.dolgi.msk.ru/account/1760038014/", 1760038014)</f>
        <v>1760038014</v>
      </c>
      <c r="D5424">
        <v>35987.949999999997</v>
      </c>
    </row>
    <row r="5425" spans="1:4" x14ac:dyDescent="0.25">
      <c r="A5425" t="s">
        <v>585</v>
      </c>
      <c r="B5425" t="s">
        <v>256</v>
      </c>
      <c r="C5425" s="2">
        <f>HYPERLINK("https://svao.dolgi.msk.ru/account/1760038022/", 1760038022)</f>
        <v>1760038022</v>
      </c>
      <c r="D5425">
        <v>7724.01</v>
      </c>
    </row>
    <row r="5426" spans="1:4" x14ac:dyDescent="0.25">
      <c r="A5426" t="s">
        <v>585</v>
      </c>
      <c r="B5426" t="s">
        <v>60</v>
      </c>
      <c r="C5426" s="2">
        <f>HYPERLINK("https://svao.dolgi.msk.ru/account/1760038057/", 1760038057)</f>
        <v>1760038057</v>
      </c>
      <c r="D5426">
        <v>11090.6</v>
      </c>
    </row>
    <row r="5427" spans="1:4" x14ac:dyDescent="0.25">
      <c r="A5427" t="s">
        <v>585</v>
      </c>
      <c r="B5427" t="s">
        <v>378</v>
      </c>
      <c r="C5427" s="2">
        <f>HYPERLINK("https://svao.dolgi.msk.ru/account/1760038065/", 1760038065)</f>
        <v>1760038065</v>
      </c>
      <c r="D5427">
        <v>702.06</v>
      </c>
    </row>
    <row r="5428" spans="1:4" x14ac:dyDescent="0.25">
      <c r="A5428" t="s">
        <v>585</v>
      </c>
      <c r="B5428" t="s">
        <v>343</v>
      </c>
      <c r="C5428" s="2">
        <f>HYPERLINK("https://svao.dolgi.msk.ru/account/1760038081/", 1760038081)</f>
        <v>1760038081</v>
      </c>
      <c r="D5428">
        <v>3691.94</v>
      </c>
    </row>
    <row r="5429" spans="1:4" x14ac:dyDescent="0.25">
      <c r="A5429" t="s">
        <v>585</v>
      </c>
      <c r="B5429" t="s">
        <v>62</v>
      </c>
      <c r="C5429" s="2">
        <f>HYPERLINK("https://svao.dolgi.msk.ru/account/1760038137/", 1760038137)</f>
        <v>1760038137</v>
      </c>
      <c r="D5429">
        <v>6127.68</v>
      </c>
    </row>
    <row r="5430" spans="1:4" x14ac:dyDescent="0.25">
      <c r="A5430" t="s">
        <v>585</v>
      </c>
      <c r="B5430" t="s">
        <v>160</v>
      </c>
      <c r="C5430" s="2">
        <f>HYPERLINK("https://svao.dolgi.msk.ru/account/1760038188/", 1760038188)</f>
        <v>1760038188</v>
      </c>
      <c r="D5430">
        <v>17466.919999999998</v>
      </c>
    </row>
    <row r="5431" spans="1:4" x14ac:dyDescent="0.25">
      <c r="A5431" t="s">
        <v>585</v>
      </c>
      <c r="B5431" t="s">
        <v>346</v>
      </c>
      <c r="C5431" s="2">
        <f>HYPERLINK("https://svao.dolgi.msk.ru/account/1760038276/", 1760038276)</f>
        <v>1760038276</v>
      </c>
      <c r="D5431">
        <v>1549.1</v>
      </c>
    </row>
    <row r="5432" spans="1:4" x14ac:dyDescent="0.25">
      <c r="A5432" t="s">
        <v>585</v>
      </c>
      <c r="B5432" t="s">
        <v>380</v>
      </c>
      <c r="C5432" s="2">
        <f>HYPERLINK("https://svao.dolgi.msk.ru/account/1760038305/", 1760038305)</f>
        <v>1760038305</v>
      </c>
      <c r="D5432">
        <v>137649.26999999999</v>
      </c>
    </row>
    <row r="5433" spans="1:4" x14ac:dyDescent="0.25">
      <c r="A5433" t="s">
        <v>585</v>
      </c>
      <c r="B5433" t="s">
        <v>439</v>
      </c>
      <c r="C5433" s="2">
        <f>HYPERLINK("https://svao.dolgi.msk.ru/account/1760038313/", 1760038313)</f>
        <v>1760038313</v>
      </c>
      <c r="D5433">
        <v>10286.84</v>
      </c>
    </row>
    <row r="5434" spans="1:4" x14ac:dyDescent="0.25">
      <c r="A5434" t="s">
        <v>585</v>
      </c>
      <c r="B5434" t="s">
        <v>164</v>
      </c>
      <c r="C5434" s="2">
        <f>HYPERLINK("https://svao.dolgi.msk.ru/account/1760038401/", 1760038401)</f>
        <v>1760038401</v>
      </c>
      <c r="D5434">
        <v>181.29</v>
      </c>
    </row>
    <row r="5435" spans="1:4" x14ac:dyDescent="0.25">
      <c r="A5435" t="s">
        <v>585</v>
      </c>
      <c r="B5435" t="s">
        <v>69</v>
      </c>
      <c r="C5435" s="2">
        <f>HYPERLINK("https://svao.dolgi.msk.ru/account/1760038428/", 1760038428)</f>
        <v>1760038428</v>
      </c>
      <c r="D5435">
        <v>6165.54</v>
      </c>
    </row>
    <row r="5436" spans="1:4" x14ac:dyDescent="0.25">
      <c r="A5436" t="s">
        <v>585</v>
      </c>
      <c r="B5436" t="s">
        <v>70</v>
      </c>
      <c r="C5436" s="2">
        <f>HYPERLINK("https://svao.dolgi.msk.ru/account/1760038444/", 1760038444)</f>
        <v>1760038444</v>
      </c>
      <c r="D5436">
        <v>7026.44</v>
      </c>
    </row>
    <row r="5437" spans="1:4" x14ac:dyDescent="0.25">
      <c r="A5437" t="s">
        <v>585</v>
      </c>
      <c r="B5437" t="s">
        <v>435</v>
      </c>
      <c r="C5437" s="2">
        <f>HYPERLINK("https://svao.dolgi.msk.ru/account/1760038452/", 1760038452)</f>
        <v>1760038452</v>
      </c>
      <c r="D5437">
        <v>8071.43</v>
      </c>
    </row>
    <row r="5438" spans="1:4" x14ac:dyDescent="0.25">
      <c r="A5438" t="s">
        <v>585</v>
      </c>
      <c r="B5438" t="s">
        <v>166</v>
      </c>
      <c r="C5438" s="2">
        <f>HYPERLINK("https://svao.dolgi.msk.ru/account/1760038532/", 1760038532)</f>
        <v>1760038532</v>
      </c>
      <c r="D5438">
        <v>7211.11</v>
      </c>
    </row>
    <row r="5439" spans="1:4" x14ac:dyDescent="0.25">
      <c r="A5439" t="s">
        <v>585</v>
      </c>
      <c r="B5439" t="s">
        <v>169</v>
      </c>
      <c r="C5439" s="2">
        <f>HYPERLINK("https://svao.dolgi.msk.ru/account/1760038604/", 1760038604)</f>
        <v>1760038604</v>
      </c>
      <c r="D5439">
        <v>2808.77</v>
      </c>
    </row>
    <row r="5440" spans="1:4" x14ac:dyDescent="0.25">
      <c r="A5440" t="s">
        <v>585</v>
      </c>
      <c r="B5440" t="s">
        <v>348</v>
      </c>
      <c r="C5440" s="2">
        <f>HYPERLINK("https://svao.dolgi.msk.ru/account/1760038639/", 1760038639)</f>
        <v>1760038639</v>
      </c>
      <c r="D5440">
        <v>7743.6</v>
      </c>
    </row>
    <row r="5441" spans="1:4" x14ac:dyDescent="0.25">
      <c r="A5441" t="s">
        <v>585</v>
      </c>
      <c r="B5441" t="s">
        <v>170</v>
      </c>
      <c r="C5441" s="2">
        <f>HYPERLINK("https://svao.dolgi.msk.ru/account/1760038663/", 1760038663)</f>
        <v>1760038663</v>
      </c>
      <c r="D5441">
        <v>6395.84</v>
      </c>
    </row>
    <row r="5442" spans="1:4" x14ac:dyDescent="0.25">
      <c r="A5442" t="s">
        <v>585</v>
      </c>
      <c r="B5442" t="s">
        <v>263</v>
      </c>
      <c r="C5442" s="2">
        <f>HYPERLINK("https://svao.dolgi.msk.ru/account/1760038671/", 1760038671)</f>
        <v>1760038671</v>
      </c>
      <c r="D5442">
        <v>6286</v>
      </c>
    </row>
    <row r="5443" spans="1:4" x14ac:dyDescent="0.25">
      <c r="A5443" t="s">
        <v>585</v>
      </c>
      <c r="B5443" t="s">
        <v>264</v>
      </c>
      <c r="C5443" s="2">
        <f>HYPERLINK("https://svao.dolgi.msk.ru/account/1760038698/", 1760038698)</f>
        <v>1760038698</v>
      </c>
      <c r="D5443">
        <v>5096.3500000000004</v>
      </c>
    </row>
    <row r="5444" spans="1:4" x14ac:dyDescent="0.25">
      <c r="A5444" t="s">
        <v>585</v>
      </c>
      <c r="B5444" t="s">
        <v>172</v>
      </c>
      <c r="C5444" s="2">
        <f>HYPERLINK("https://svao.dolgi.msk.ru/account/1760038751/", 1760038751)</f>
        <v>1760038751</v>
      </c>
      <c r="D5444">
        <v>113990.03</v>
      </c>
    </row>
    <row r="5445" spans="1:4" x14ac:dyDescent="0.25">
      <c r="A5445" t="s">
        <v>585</v>
      </c>
      <c r="B5445" t="s">
        <v>431</v>
      </c>
      <c r="C5445" s="2">
        <f>HYPERLINK("https://svao.dolgi.msk.ru/account/1760038786/", 1760038786)</f>
        <v>1760038786</v>
      </c>
      <c r="D5445">
        <v>8517.35</v>
      </c>
    </row>
    <row r="5446" spans="1:4" x14ac:dyDescent="0.25">
      <c r="A5446" t="s">
        <v>586</v>
      </c>
      <c r="B5446" t="s">
        <v>137</v>
      </c>
      <c r="C5446" s="2">
        <f>HYPERLINK("https://svao.dolgi.msk.ru/account/1760254032/", 1760254032)</f>
        <v>1760254032</v>
      </c>
      <c r="D5446">
        <v>4025.71</v>
      </c>
    </row>
    <row r="5447" spans="1:4" x14ac:dyDescent="0.25">
      <c r="A5447" t="s">
        <v>586</v>
      </c>
      <c r="B5447" t="s">
        <v>75</v>
      </c>
      <c r="C5447" s="2">
        <f>HYPERLINK("https://svao.dolgi.msk.ru/account/1760254067/", 1760254067)</f>
        <v>1760254067</v>
      </c>
      <c r="D5447">
        <v>5848.9</v>
      </c>
    </row>
    <row r="5448" spans="1:4" x14ac:dyDescent="0.25">
      <c r="A5448" t="s">
        <v>586</v>
      </c>
      <c r="B5448" t="s">
        <v>12</v>
      </c>
      <c r="C5448" s="2">
        <f>HYPERLINK("https://svao.dolgi.msk.ru/account/1760254091/", 1760254091)</f>
        <v>1760254091</v>
      </c>
      <c r="D5448">
        <v>91683.61</v>
      </c>
    </row>
    <row r="5449" spans="1:4" x14ac:dyDescent="0.25">
      <c r="A5449" t="s">
        <v>586</v>
      </c>
      <c r="B5449" t="s">
        <v>107</v>
      </c>
      <c r="C5449" s="2">
        <f>HYPERLINK("https://svao.dolgi.msk.ru/account/1760254155/", 1760254155)</f>
        <v>1760254155</v>
      </c>
      <c r="D5449">
        <v>119.44</v>
      </c>
    </row>
    <row r="5450" spans="1:4" x14ac:dyDescent="0.25">
      <c r="A5450" t="s">
        <v>586</v>
      </c>
      <c r="B5450" t="s">
        <v>20</v>
      </c>
      <c r="C5450" s="2">
        <f>HYPERLINK("https://svao.dolgi.msk.ru/account/1760254251/", 1760254251)</f>
        <v>1760254251</v>
      </c>
      <c r="D5450">
        <v>4465.5</v>
      </c>
    </row>
    <row r="5451" spans="1:4" x14ac:dyDescent="0.25">
      <c r="A5451" t="s">
        <v>587</v>
      </c>
      <c r="B5451" t="s">
        <v>41</v>
      </c>
      <c r="C5451" s="2">
        <f>HYPERLINK("https://svao.dolgi.msk.ru/account/1760254366/", 1760254366)</f>
        <v>1760254366</v>
      </c>
      <c r="D5451">
        <v>5544.24</v>
      </c>
    </row>
    <row r="5452" spans="1:4" x14ac:dyDescent="0.25">
      <c r="A5452" t="s">
        <v>587</v>
      </c>
      <c r="B5452" t="s">
        <v>7</v>
      </c>
      <c r="C5452" s="2">
        <f>HYPERLINK("https://svao.dolgi.msk.ru/account/1760254382/", 1760254382)</f>
        <v>1760254382</v>
      </c>
      <c r="D5452">
        <v>5031.3999999999996</v>
      </c>
    </row>
    <row r="5453" spans="1:4" x14ac:dyDescent="0.25">
      <c r="A5453" t="s">
        <v>587</v>
      </c>
      <c r="B5453" t="s">
        <v>104</v>
      </c>
      <c r="C5453" s="2">
        <f>HYPERLINK("https://svao.dolgi.msk.ru/account/1760254462/", 1760254462)</f>
        <v>1760254462</v>
      </c>
      <c r="D5453">
        <v>5914.16</v>
      </c>
    </row>
    <row r="5454" spans="1:4" x14ac:dyDescent="0.25">
      <c r="A5454" t="s">
        <v>587</v>
      </c>
      <c r="B5454" t="s">
        <v>74</v>
      </c>
      <c r="C5454" s="2">
        <f>HYPERLINK("https://svao.dolgi.msk.ru/account/1760254497/", 1760254497)</f>
        <v>1760254497</v>
      </c>
      <c r="D5454">
        <v>5258.57</v>
      </c>
    </row>
    <row r="5455" spans="1:4" x14ac:dyDescent="0.25">
      <c r="A5455" t="s">
        <v>587</v>
      </c>
      <c r="B5455" t="s">
        <v>9</v>
      </c>
      <c r="C5455" s="2">
        <f>HYPERLINK("https://svao.dolgi.msk.ru/account/1760254526/", 1760254526)</f>
        <v>1760254526</v>
      </c>
      <c r="D5455">
        <v>4294.97</v>
      </c>
    </row>
    <row r="5456" spans="1:4" x14ac:dyDescent="0.25">
      <c r="A5456" t="s">
        <v>587</v>
      </c>
      <c r="B5456" t="s">
        <v>75</v>
      </c>
      <c r="C5456" s="2">
        <f>HYPERLINK("https://svao.dolgi.msk.ru/account/1760254534/", 1760254534)</f>
        <v>1760254534</v>
      </c>
      <c r="D5456">
        <v>5456.77</v>
      </c>
    </row>
    <row r="5457" spans="1:4" x14ac:dyDescent="0.25">
      <c r="A5457" t="s">
        <v>587</v>
      </c>
      <c r="B5457" t="s">
        <v>91</v>
      </c>
      <c r="C5457" s="2">
        <f>HYPERLINK("https://svao.dolgi.msk.ru/account/1760254542/", 1760254542)</f>
        <v>1760254542</v>
      </c>
      <c r="D5457">
        <v>6001.48</v>
      </c>
    </row>
    <row r="5458" spans="1:4" x14ac:dyDescent="0.25">
      <c r="A5458" t="s">
        <v>587</v>
      </c>
      <c r="B5458" t="s">
        <v>10</v>
      </c>
      <c r="C5458" s="2">
        <f>HYPERLINK("https://svao.dolgi.msk.ru/account/1760254569/", 1760254569)</f>
        <v>1760254569</v>
      </c>
      <c r="D5458">
        <v>15914.13</v>
      </c>
    </row>
    <row r="5459" spans="1:4" x14ac:dyDescent="0.25">
      <c r="A5459" t="s">
        <v>587</v>
      </c>
      <c r="B5459" t="s">
        <v>13</v>
      </c>
      <c r="C5459" s="2">
        <f>HYPERLINK("https://svao.dolgi.msk.ru/account/1760254606/", 1760254606)</f>
        <v>1760254606</v>
      </c>
      <c r="D5459">
        <v>4007.83</v>
      </c>
    </row>
    <row r="5460" spans="1:4" x14ac:dyDescent="0.25">
      <c r="A5460" t="s">
        <v>587</v>
      </c>
      <c r="B5460" t="s">
        <v>14</v>
      </c>
      <c r="C5460" s="2">
        <f>HYPERLINK("https://svao.dolgi.msk.ru/account/1760254614/", 1760254614)</f>
        <v>1760254614</v>
      </c>
      <c r="D5460">
        <v>2668.72</v>
      </c>
    </row>
    <row r="5461" spans="1:4" x14ac:dyDescent="0.25">
      <c r="A5461" t="s">
        <v>587</v>
      </c>
      <c r="B5461" t="s">
        <v>106</v>
      </c>
      <c r="C5461" s="2">
        <f>HYPERLINK("https://svao.dolgi.msk.ru/account/1760254622/", 1760254622)</f>
        <v>1760254622</v>
      </c>
      <c r="D5461">
        <v>10428.219999999999</v>
      </c>
    </row>
    <row r="5462" spans="1:4" x14ac:dyDescent="0.25">
      <c r="A5462" t="s">
        <v>587</v>
      </c>
      <c r="B5462" t="s">
        <v>18</v>
      </c>
      <c r="C5462" s="2">
        <f>HYPERLINK("https://svao.dolgi.msk.ru/account/1760254702/", 1760254702)</f>
        <v>1760254702</v>
      </c>
      <c r="D5462">
        <v>60150</v>
      </c>
    </row>
    <row r="5463" spans="1:4" x14ac:dyDescent="0.25">
      <c r="A5463" t="s">
        <v>587</v>
      </c>
      <c r="B5463" t="s">
        <v>19</v>
      </c>
      <c r="C5463" s="2">
        <f>HYPERLINK("https://svao.dolgi.msk.ru/account/1760254729/", 1760254729)</f>
        <v>1760254729</v>
      </c>
      <c r="D5463">
        <v>6745.14</v>
      </c>
    </row>
    <row r="5464" spans="1:4" x14ac:dyDescent="0.25">
      <c r="A5464" t="s">
        <v>587</v>
      </c>
      <c r="B5464" t="s">
        <v>109</v>
      </c>
      <c r="C5464" s="2">
        <f>HYPERLINK("https://svao.dolgi.msk.ru/account/1760254737/", 1760254737)</f>
        <v>1760254737</v>
      </c>
      <c r="D5464">
        <v>12961.07</v>
      </c>
    </row>
    <row r="5465" spans="1:4" x14ac:dyDescent="0.25">
      <c r="A5465" t="s">
        <v>587</v>
      </c>
      <c r="B5465" t="s">
        <v>76</v>
      </c>
      <c r="C5465" s="2">
        <f>HYPERLINK("https://svao.dolgi.msk.ru/account/1760254761/", 1760254761)</f>
        <v>1760254761</v>
      </c>
      <c r="D5465">
        <v>4777.8999999999996</v>
      </c>
    </row>
    <row r="5466" spans="1:4" x14ac:dyDescent="0.25">
      <c r="A5466" t="s">
        <v>587</v>
      </c>
      <c r="B5466" t="s">
        <v>114</v>
      </c>
      <c r="C5466" s="2">
        <f>HYPERLINK("https://svao.dolgi.msk.ru/account/1760254876/", 1760254876)</f>
        <v>1760254876</v>
      </c>
      <c r="D5466">
        <v>8035.79</v>
      </c>
    </row>
    <row r="5467" spans="1:4" x14ac:dyDescent="0.25">
      <c r="A5467" t="s">
        <v>587</v>
      </c>
      <c r="B5467" t="s">
        <v>22</v>
      </c>
      <c r="C5467" s="2">
        <f>HYPERLINK("https://svao.dolgi.msk.ru/account/1760254892/", 1760254892)</f>
        <v>1760254892</v>
      </c>
      <c r="D5467">
        <v>14432</v>
      </c>
    </row>
    <row r="5468" spans="1:4" x14ac:dyDescent="0.25">
      <c r="A5468" t="s">
        <v>587</v>
      </c>
      <c r="B5468" t="s">
        <v>79</v>
      </c>
      <c r="C5468" s="2">
        <f>HYPERLINK("https://svao.dolgi.msk.ru/account/1760254905/", 1760254905)</f>
        <v>1760254905</v>
      </c>
      <c r="D5468">
        <v>10737.97</v>
      </c>
    </row>
    <row r="5469" spans="1:4" x14ac:dyDescent="0.25">
      <c r="A5469" t="s">
        <v>587</v>
      </c>
      <c r="B5469" t="s">
        <v>23</v>
      </c>
      <c r="C5469" s="2">
        <f>HYPERLINK("https://svao.dolgi.msk.ru/account/1760254913/", 1760254913)</f>
        <v>1760254913</v>
      </c>
      <c r="D5469">
        <v>46630.2</v>
      </c>
    </row>
    <row r="5470" spans="1:4" x14ac:dyDescent="0.25">
      <c r="A5470" t="s">
        <v>587</v>
      </c>
      <c r="B5470" t="s">
        <v>124</v>
      </c>
      <c r="C5470" s="2">
        <f>HYPERLINK("https://svao.dolgi.msk.ru/account/1760254921/", 1760254921)</f>
        <v>1760254921</v>
      </c>
      <c r="D5470">
        <v>19624.13</v>
      </c>
    </row>
    <row r="5471" spans="1:4" x14ac:dyDescent="0.25">
      <c r="A5471" t="s">
        <v>587</v>
      </c>
      <c r="B5471" t="s">
        <v>24</v>
      </c>
      <c r="C5471" s="2">
        <f>HYPERLINK("https://svao.dolgi.msk.ru/account/1760254972/", 1760254972)</f>
        <v>1760254972</v>
      </c>
      <c r="D5471">
        <v>3839.59</v>
      </c>
    </row>
    <row r="5472" spans="1:4" x14ac:dyDescent="0.25">
      <c r="A5472" t="s">
        <v>587</v>
      </c>
      <c r="B5472" t="s">
        <v>120</v>
      </c>
      <c r="C5472" s="2">
        <f>HYPERLINK("https://svao.dolgi.msk.ru/account/1760255123/", 1760255123)</f>
        <v>1760255123</v>
      </c>
      <c r="D5472">
        <v>13326.35</v>
      </c>
    </row>
    <row r="5473" spans="1:4" x14ac:dyDescent="0.25">
      <c r="A5473" t="s">
        <v>587</v>
      </c>
      <c r="B5473" t="s">
        <v>82</v>
      </c>
      <c r="C5473" s="2">
        <f>HYPERLINK("https://svao.dolgi.msk.ru/account/1760255131/", 1760255131)</f>
        <v>1760255131</v>
      </c>
      <c r="D5473">
        <v>6383.21</v>
      </c>
    </row>
    <row r="5474" spans="1:4" x14ac:dyDescent="0.25">
      <c r="A5474" t="s">
        <v>587</v>
      </c>
      <c r="B5474" t="s">
        <v>128</v>
      </c>
      <c r="C5474" s="2">
        <f>HYPERLINK("https://svao.dolgi.msk.ru/account/1760255158/", 1760255158)</f>
        <v>1760255158</v>
      </c>
      <c r="D5474">
        <v>43116.79</v>
      </c>
    </row>
    <row r="5475" spans="1:4" x14ac:dyDescent="0.25">
      <c r="A5475" t="s">
        <v>587</v>
      </c>
      <c r="B5475" t="s">
        <v>25</v>
      </c>
      <c r="C5475" s="2">
        <f>HYPERLINK("https://svao.dolgi.msk.ru/account/1760255166/", 1760255166)</f>
        <v>1760255166</v>
      </c>
      <c r="D5475">
        <v>5745</v>
      </c>
    </row>
    <row r="5476" spans="1:4" x14ac:dyDescent="0.25">
      <c r="A5476" t="s">
        <v>587</v>
      </c>
      <c r="B5476" t="s">
        <v>83</v>
      </c>
      <c r="C5476" s="2">
        <f>HYPERLINK("https://svao.dolgi.msk.ru/account/1760255174/", 1760255174)</f>
        <v>1760255174</v>
      </c>
      <c r="D5476">
        <v>154.79</v>
      </c>
    </row>
    <row r="5477" spans="1:4" x14ac:dyDescent="0.25">
      <c r="A5477" t="s">
        <v>587</v>
      </c>
      <c r="B5477" t="s">
        <v>26</v>
      </c>
      <c r="C5477" s="2">
        <f>HYPERLINK("https://svao.dolgi.msk.ru/account/1760261347/", 1760261347)</f>
        <v>1760261347</v>
      </c>
      <c r="D5477">
        <v>220148.79</v>
      </c>
    </row>
    <row r="5478" spans="1:4" x14ac:dyDescent="0.25">
      <c r="A5478" t="s">
        <v>587</v>
      </c>
      <c r="B5478" t="s">
        <v>133</v>
      </c>
      <c r="C5478" s="2">
        <f>HYPERLINK("https://svao.dolgi.msk.ru/account/1760255182/", 1760255182)</f>
        <v>1760255182</v>
      </c>
      <c r="D5478">
        <v>6573.66</v>
      </c>
    </row>
    <row r="5479" spans="1:4" x14ac:dyDescent="0.25">
      <c r="A5479" t="s">
        <v>587</v>
      </c>
      <c r="B5479" t="s">
        <v>96</v>
      </c>
      <c r="C5479" s="2">
        <f>HYPERLINK("https://svao.dolgi.msk.ru/account/1760255203/", 1760255203)</f>
        <v>1760255203</v>
      </c>
      <c r="D5479">
        <v>25738.560000000001</v>
      </c>
    </row>
    <row r="5480" spans="1:4" x14ac:dyDescent="0.25">
      <c r="A5480" t="s">
        <v>587</v>
      </c>
      <c r="B5480" t="s">
        <v>121</v>
      </c>
      <c r="C5480" s="2">
        <f>HYPERLINK("https://svao.dolgi.msk.ru/account/1760255238/", 1760255238)</f>
        <v>1760255238</v>
      </c>
      <c r="D5480">
        <v>2395.37</v>
      </c>
    </row>
    <row r="5481" spans="1:4" x14ac:dyDescent="0.25">
      <c r="A5481" t="s">
        <v>587</v>
      </c>
      <c r="B5481" t="s">
        <v>134</v>
      </c>
      <c r="C5481" s="2">
        <f>HYPERLINK("https://svao.dolgi.msk.ru/account/1760261398/", 1760261398)</f>
        <v>1760261398</v>
      </c>
      <c r="D5481">
        <v>2418.96</v>
      </c>
    </row>
    <row r="5482" spans="1:4" x14ac:dyDescent="0.25">
      <c r="A5482" t="s">
        <v>587</v>
      </c>
      <c r="B5482" t="s">
        <v>29</v>
      </c>
      <c r="C5482" s="2">
        <f>HYPERLINK("https://svao.dolgi.msk.ru/account/1760255254/", 1760255254)</f>
        <v>1760255254</v>
      </c>
      <c r="D5482">
        <v>5731.46</v>
      </c>
    </row>
    <row r="5483" spans="1:4" x14ac:dyDescent="0.25">
      <c r="A5483" t="s">
        <v>587</v>
      </c>
      <c r="B5483" t="s">
        <v>244</v>
      </c>
      <c r="C5483" s="2">
        <f>HYPERLINK("https://svao.dolgi.msk.ru/account/1760261451/", 1760261451)</f>
        <v>1760261451</v>
      </c>
      <c r="D5483">
        <v>1538.99</v>
      </c>
    </row>
    <row r="5484" spans="1:4" x14ac:dyDescent="0.25">
      <c r="A5484" t="s">
        <v>587</v>
      </c>
      <c r="B5484" t="s">
        <v>97</v>
      </c>
      <c r="C5484" s="2">
        <f>HYPERLINK("https://svao.dolgi.msk.ru/account/1760255289/", 1760255289)</f>
        <v>1760255289</v>
      </c>
      <c r="D5484">
        <v>3989.4</v>
      </c>
    </row>
    <row r="5485" spans="1:4" x14ac:dyDescent="0.25">
      <c r="A5485" t="s">
        <v>587</v>
      </c>
      <c r="B5485" t="s">
        <v>32</v>
      </c>
      <c r="C5485" s="2">
        <f>HYPERLINK("https://svao.dolgi.msk.ru/account/1760261742/", 1760261742)</f>
        <v>1760261742</v>
      </c>
      <c r="D5485">
        <v>4540.4399999999996</v>
      </c>
    </row>
    <row r="5486" spans="1:4" x14ac:dyDescent="0.25">
      <c r="A5486" t="s">
        <v>587</v>
      </c>
      <c r="B5486" t="s">
        <v>88</v>
      </c>
      <c r="C5486" s="2">
        <f>HYPERLINK("https://svao.dolgi.msk.ru/account/1760261996/", 1760261996)</f>
        <v>1760261996</v>
      </c>
      <c r="D5486">
        <v>998.58</v>
      </c>
    </row>
    <row r="5487" spans="1:4" x14ac:dyDescent="0.25">
      <c r="A5487" t="s">
        <v>587</v>
      </c>
      <c r="B5487" t="s">
        <v>43</v>
      </c>
      <c r="C5487" s="2">
        <f>HYPERLINK("https://svao.dolgi.msk.ru/account/1760262104/", 1760262104)</f>
        <v>1760262104</v>
      </c>
      <c r="D5487">
        <v>795.09</v>
      </c>
    </row>
    <row r="5488" spans="1:4" x14ac:dyDescent="0.25">
      <c r="A5488" t="s">
        <v>587</v>
      </c>
      <c r="B5488" t="s">
        <v>89</v>
      </c>
      <c r="C5488" s="2">
        <f>HYPERLINK("https://svao.dolgi.msk.ru/account/1760262147/", 1760262147)</f>
        <v>1760262147</v>
      </c>
      <c r="D5488">
        <v>6170.51</v>
      </c>
    </row>
    <row r="5489" spans="1:4" x14ac:dyDescent="0.25">
      <c r="A5489" t="s">
        <v>587</v>
      </c>
      <c r="B5489" t="s">
        <v>142</v>
      </c>
      <c r="C5489" s="2">
        <f>HYPERLINK("https://svao.dolgi.msk.ru/account/1760262155/", 1760262155)</f>
        <v>1760262155</v>
      </c>
      <c r="D5489">
        <v>66168.820000000007</v>
      </c>
    </row>
    <row r="5490" spans="1:4" x14ac:dyDescent="0.25">
      <c r="A5490" t="s">
        <v>587</v>
      </c>
      <c r="B5490" t="s">
        <v>305</v>
      </c>
      <c r="C5490" s="2">
        <f>HYPERLINK("https://svao.dolgi.msk.ru/account/1760262171/", 1760262171)</f>
        <v>1760262171</v>
      </c>
      <c r="D5490">
        <v>6973.71</v>
      </c>
    </row>
    <row r="5491" spans="1:4" x14ac:dyDescent="0.25">
      <c r="A5491" t="s">
        <v>587</v>
      </c>
      <c r="B5491" t="s">
        <v>45</v>
      </c>
      <c r="C5491" s="2">
        <f>HYPERLINK("https://svao.dolgi.msk.ru/account/1760261419/", 1760261419)</f>
        <v>1760261419</v>
      </c>
      <c r="D5491">
        <v>3804.34</v>
      </c>
    </row>
    <row r="5492" spans="1:4" x14ac:dyDescent="0.25">
      <c r="A5492" t="s">
        <v>587</v>
      </c>
      <c r="B5492" t="s">
        <v>144</v>
      </c>
      <c r="C5492" s="2">
        <f>HYPERLINK("https://svao.dolgi.msk.ru/account/1760261443/", 1760261443)</f>
        <v>1760261443</v>
      </c>
      <c r="D5492">
        <v>293.18</v>
      </c>
    </row>
    <row r="5493" spans="1:4" x14ac:dyDescent="0.25">
      <c r="A5493" t="s">
        <v>587</v>
      </c>
      <c r="B5493" t="s">
        <v>47</v>
      </c>
      <c r="C5493" s="2">
        <f>HYPERLINK("https://svao.dolgi.msk.ru/account/1760261945/", 1760261945)</f>
        <v>1760261945</v>
      </c>
      <c r="D5493">
        <v>2004.44</v>
      </c>
    </row>
    <row r="5494" spans="1:4" x14ac:dyDescent="0.25">
      <c r="A5494" t="s">
        <v>587</v>
      </c>
      <c r="B5494" t="s">
        <v>49</v>
      </c>
      <c r="C5494" s="2">
        <f>HYPERLINK("https://svao.dolgi.msk.ru/account/1760262067/", 1760262067)</f>
        <v>1760262067</v>
      </c>
      <c r="D5494">
        <v>2832.56</v>
      </c>
    </row>
    <row r="5495" spans="1:4" x14ac:dyDescent="0.25">
      <c r="A5495" t="s">
        <v>587</v>
      </c>
      <c r="B5495" t="s">
        <v>334</v>
      </c>
      <c r="C5495" s="2">
        <f>HYPERLINK("https://svao.dolgi.msk.ru/account/1760262286/", 1760262286)</f>
        <v>1760262286</v>
      </c>
      <c r="D5495">
        <v>7995.57</v>
      </c>
    </row>
    <row r="5496" spans="1:4" x14ac:dyDescent="0.25">
      <c r="A5496" t="s">
        <v>588</v>
      </c>
      <c r="B5496" t="s">
        <v>6</v>
      </c>
      <c r="C5496" s="2">
        <f>HYPERLINK("https://svao.dolgi.msk.ru/account/1768035213/", 1768035213)</f>
        <v>1768035213</v>
      </c>
      <c r="D5496">
        <v>170.07</v>
      </c>
    </row>
    <row r="5497" spans="1:4" x14ac:dyDescent="0.25">
      <c r="A5497" t="s">
        <v>588</v>
      </c>
      <c r="B5497" t="s">
        <v>7</v>
      </c>
      <c r="C5497" s="2">
        <f>HYPERLINK("https://svao.dolgi.msk.ru/account/1768035248/", 1768035248)</f>
        <v>1768035248</v>
      </c>
      <c r="D5497">
        <v>1198.71</v>
      </c>
    </row>
    <row r="5498" spans="1:4" x14ac:dyDescent="0.25">
      <c r="A5498" t="s">
        <v>588</v>
      </c>
      <c r="B5498" t="s">
        <v>101</v>
      </c>
      <c r="C5498" s="2">
        <f>HYPERLINK("https://svao.dolgi.msk.ru/account/1768001283/", 1768001283)</f>
        <v>1768001283</v>
      </c>
      <c r="D5498">
        <v>569.09</v>
      </c>
    </row>
    <row r="5499" spans="1:4" x14ac:dyDescent="0.25">
      <c r="A5499" t="s">
        <v>588</v>
      </c>
      <c r="B5499" t="s">
        <v>73</v>
      </c>
      <c r="C5499" s="2">
        <f>HYPERLINK("https://svao.dolgi.msk.ru/account/1768035299/", 1768035299)</f>
        <v>1768035299</v>
      </c>
      <c r="D5499">
        <v>1315.81</v>
      </c>
    </row>
    <row r="5500" spans="1:4" x14ac:dyDescent="0.25">
      <c r="A5500" t="s">
        <v>588</v>
      </c>
      <c r="B5500" t="s">
        <v>104</v>
      </c>
      <c r="C5500" s="2">
        <f>HYPERLINK("https://svao.dolgi.msk.ru/account/1768035301/", 1768035301)</f>
        <v>1768035301</v>
      </c>
      <c r="D5500">
        <v>1399.22</v>
      </c>
    </row>
    <row r="5501" spans="1:4" x14ac:dyDescent="0.25">
      <c r="A5501" t="s">
        <v>588</v>
      </c>
      <c r="B5501" t="s">
        <v>137</v>
      </c>
      <c r="C5501" s="2">
        <f>HYPERLINK("https://svao.dolgi.msk.ru/account/1768035344/", 1768035344)</f>
        <v>1768035344</v>
      </c>
      <c r="D5501">
        <v>1346.21</v>
      </c>
    </row>
    <row r="5502" spans="1:4" x14ac:dyDescent="0.25">
      <c r="A5502" t="s">
        <v>588</v>
      </c>
      <c r="B5502" t="s">
        <v>9</v>
      </c>
      <c r="C5502" s="2">
        <f>HYPERLINK("https://svao.dolgi.msk.ru/account/1768001371/", 1768001371)</f>
        <v>1768001371</v>
      </c>
      <c r="D5502">
        <v>14285.08</v>
      </c>
    </row>
    <row r="5503" spans="1:4" x14ac:dyDescent="0.25">
      <c r="A5503" t="s">
        <v>588</v>
      </c>
      <c r="B5503" t="s">
        <v>75</v>
      </c>
      <c r="C5503" s="2">
        <f>HYPERLINK("https://svao.dolgi.msk.ru/account/1768035352/", 1768035352)</f>
        <v>1768035352</v>
      </c>
      <c r="D5503">
        <v>1789.55</v>
      </c>
    </row>
    <row r="5504" spans="1:4" x14ac:dyDescent="0.25">
      <c r="A5504" t="s">
        <v>588</v>
      </c>
      <c r="B5504" t="s">
        <v>91</v>
      </c>
      <c r="C5504" s="2">
        <f>HYPERLINK("https://svao.dolgi.msk.ru/account/1768035379/", 1768035379)</f>
        <v>1768035379</v>
      </c>
      <c r="D5504">
        <v>1278.6099999999999</v>
      </c>
    </row>
    <row r="5505" spans="1:4" x14ac:dyDescent="0.25">
      <c r="A5505" t="s">
        <v>588</v>
      </c>
      <c r="B5505" t="s">
        <v>219</v>
      </c>
      <c r="C5505" s="2">
        <f>HYPERLINK("https://svao.dolgi.msk.ru/account/1768035395/", 1768035395)</f>
        <v>1768035395</v>
      </c>
      <c r="D5505">
        <v>218.34</v>
      </c>
    </row>
    <row r="5506" spans="1:4" x14ac:dyDescent="0.25">
      <c r="A5506" t="s">
        <v>588</v>
      </c>
      <c r="B5506" t="s">
        <v>11</v>
      </c>
      <c r="C5506" s="2">
        <f>HYPERLINK("https://svao.dolgi.msk.ru/account/1768035408/", 1768035408)</f>
        <v>1768035408</v>
      </c>
      <c r="D5506">
        <v>2244.42</v>
      </c>
    </row>
    <row r="5507" spans="1:4" x14ac:dyDescent="0.25">
      <c r="A5507" t="s">
        <v>588</v>
      </c>
      <c r="B5507" t="s">
        <v>12</v>
      </c>
      <c r="C5507" s="2">
        <f>HYPERLINK("https://svao.dolgi.msk.ru/account/1768035416/", 1768035416)</f>
        <v>1768035416</v>
      </c>
      <c r="D5507">
        <v>1072.04</v>
      </c>
    </row>
    <row r="5508" spans="1:4" x14ac:dyDescent="0.25">
      <c r="A5508" t="s">
        <v>588</v>
      </c>
      <c r="B5508" t="s">
        <v>14</v>
      </c>
      <c r="C5508" s="2">
        <f>HYPERLINK("https://svao.dolgi.msk.ru/account/1768035424/", 1768035424)</f>
        <v>1768035424</v>
      </c>
      <c r="D5508">
        <v>266.77999999999997</v>
      </c>
    </row>
    <row r="5509" spans="1:4" x14ac:dyDescent="0.25">
      <c r="A5509" t="s">
        <v>588</v>
      </c>
      <c r="B5509" t="s">
        <v>15</v>
      </c>
      <c r="C5509" s="2">
        <f>HYPERLINK("https://svao.dolgi.msk.ru/account/1768035459/", 1768035459)</f>
        <v>1768035459</v>
      </c>
      <c r="D5509">
        <v>14636.96</v>
      </c>
    </row>
    <row r="5510" spans="1:4" x14ac:dyDescent="0.25">
      <c r="A5510" t="s">
        <v>588</v>
      </c>
      <c r="B5510" t="s">
        <v>108</v>
      </c>
      <c r="C5510" s="2">
        <f>HYPERLINK("https://svao.dolgi.msk.ru/account/1768035467/", 1768035467)</f>
        <v>1768035467</v>
      </c>
      <c r="D5510">
        <v>2339.69</v>
      </c>
    </row>
    <row r="5511" spans="1:4" x14ac:dyDescent="0.25">
      <c r="A5511" t="s">
        <v>588</v>
      </c>
      <c r="B5511" t="s">
        <v>16</v>
      </c>
      <c r="C5511" s="2">
        <f>HYPERLINK("https://svao.dolgi.msk.ru/account/1768035475/", 1768035475)</f>
        <v>1768035475</v>
      </c>
      <c r="D5511">
        <v>1418.62</v>
      </c>
    </row>
    <row r="5512" spans="1:4" x14ac:dyDescent="0.25">
      <c r="A5512" t="s">
        <v>588</v>
      </c>
      <c r="B5512" t="s">
        <v>18</v>
      </c>
      <c r="C5512" s="2">
        <f>HYPERLINK("https://svao.dolgi.msk.ru/account/1768035483/", 1768035483)</f>
        <v>1768035483</v>
      </c>
      <c r="D5512">
        <v>11417.68</v>
      </c>
    </row>
    <row r="5513" spans="1:4" x14ac:dyDescent="0.25">
      <c r="A5513" t="s">
        <v>588</v>
      </c>
      <c r="B5513" t="s">
        <v>19</v>
      </c>
      <c r="C5513" s="2">
        <f>HYPERLINK("https://svao.dolgi.msk.ru/account/1768035491/", 1768035491)</f>
        <v>1768035491</v>
      </c>
      <c r="D5513">
        <v>5436.4</v>
      </c>
    </row>
    <row r="5514" spans="1:4" x14ac:dyDescent="0.25">
      <c r="A5514" t="s">
        <v>588</v>
      </c>
      <c r="B5514" t="s">
        <v>94</v>
      </c>
      <c r="C5514" s="2">
        <f>HYPERLINK("https://svao.dolgi.msk.ru/account/1768001187/", 1768001187)</f>
        <v>1768001187</v>
      </c>
      <c r="D5514">
        <v>2940.01</v>
      </c>
    </row>
    <row r="5515" spans="1:4" x14ac:dyDescent="0.25">
      <c r="A5515" t="s">
        <v>588</v>
      </c>
      <c r="B5515" t="s">
        <v>113</v>
      </c>
      <c r="C5515" s="2">
        <f>HYPERLINK("https://svao.dolgi.msk.ru/account/1768035563/", 1768035563)</f>
        <v>1768035563</v>
      </c>
      <c r="D5515">
        <v>385.85</v>
      </c>
    </row>
    <row r="5516" spans="1:4" x14ac:dyDescent="0.25">
      <c r="A5516" t="s">
        <v>588</v>
      </c>
      <c r="B5516" t="s">
        <v>21</v>
      </c>
      <c r="C5516" s="2">
        <f>HYPERLINK("https://svao.dolgi.msk.ru/account/1768035571/", 1768035571)</f>
        <v>1768035571</v>
      </c>
      <c r="D5516">
        <v>1093.58</v>
      </c>
    </row>
    <row r="5517" spans="1:4" x14ac:dyDescent="0.25">
      <c r="A5517" t="s">
        <v>588</v>
      </c>
      <c r="B5517" t="s">
        <v>114</v>
      </c>
      <c r="C5517" s="2">
        <f>HYPERLINK("https://svao.dolgi.msk.ru/account/1768035619/", 1768035619)</f>
        <v>1768035619</v>
      </c>
      <c r="D5517">
        <v>37207.14</v>
      </c>
    </row>
    <row r="5518" spans="1:4" x14ac:dyDescent="0.25">
      <c r="A5518" t="s">
        <v>588</v>
      </c>
      <c r="B5518" t="s">
        <v>22</v>
      </c>
      <c r="C5518" s="2">
        <f>HYPERLINK("https://svao.dolgi.msk.ru/account/1768035635/", 1768035635)</f>
        <v>1768035635</v>
      </c>
      <c r="D5518">
        <v>19305.599999999999</v>
      </c>
    </row>
    <row r="5519" spans="1:4" x14ac:dyDescent="0.25">
      <c r="A5519" t="s">
        <v>588</v>
      </c>
      <c r="B5519" t="s">
        <v>79</v>
      </c>
      <c r="C5519" s="2">
        <f>HYPERLINK("https://svao.dolgi.msk.ru/account/1768035643/", 1768035643)</f>
        <v>1768035643</v>
      </c>
      <c r="D5519">
        <v>783.56</v>
      </c>
    </row>
    <row r="5520" spans="1:4" x14ac:dyDescent="0.25">
      <c r="A5520" t="s">
        <v>588</v>
      </c>
      <c r="B5520" t="s">
        <v>124</v>
      </c>
      <c r="C5520" s="2">
        <f>HYPERLINK("https://svao.dolgi.msk.ru/account/1768035651/", 1768035651)</f>
        <v>1768035651</v>
      </c>
      <c r="D5520">
        <v>2989.02</v>
      </c>
    </row>
    <row r="5521" spans="1:4" x14ac:dyDescent="0.25">
      <c r="A5521" t="s">
        <v>588</v>
      </c>
      <c r="B5521" t="s">
        <v>115</v>
      </c>
      <c r="C5521" s="2">
        <f>HYPERLINK("https://svao.dolgi.msk.ru/account/1768035678/", 1768035678)</f>
        <v>1768035678</v>
      </c>
      <c r="D5521">
        <v>2424.6799999999998</v>
      </c>
    </row>
    <row r="5522" spans="1:4" x14ac:dyDescent="0.25">
      <c r="A5522" t="s">
        <v>588</v>
      </c>
      <c r="B5522" t="s">
        <v>320</v>
      </c>
      <c r="C5522" s="2">
        <f>HYPERLINK("https://svao.dolgi.msk.ru/account/1768035686/", 1768035686)</f>
        <v>1768035686</v>
      </c>
      <c r="D5522">
        <v>4719.3999999999996</v>
      </c>
    </row>
    <row r="5523" spans="1:4" x14ac:dyDescent="0.25">
      <c r="A5523" t="s">
        <v>588</v>
      </c>
      <c r="B5523" t="s">
        <v>24</v>
      </c>
      <c r="C5523" s="2">
        <f>HYPERLINK("https://svao.dolgi.msk.ru/account/1768035694/", 1768035694)</f>
        <v>1768035694</v>
      </c>
      <c r="D5523">
        <v>933.05</v>
      </c>
    </row>
    <row r="5524" spans="1:4" x14ac:dyDescent="0.25">
      <c r="A5524" t="s">
        <v>588</v>
      </c>
      <c r="B5524" t="s">
        <v>131</v>
      </c>
      <c r="C5524" s="2">
        <f>HYPERLINK("https://svao.dolgi.msk.ru/account/1768035731/", 1768035731)</f>
        <v>1768035731</v>
      </c>
      <c r="D5524">
        <v>193.12</v>
      </c>
    </row>
    <row r="5525" spans="1:4" x14ac:dyDescent="0.25">
      <c r="A5525" t="s">
        <v>588</v>
      </c>
      <c r="B5525" t="s">
        <v>125</v>
      </c>
      <c r="C5525" s="2">
        <f>HYPERLINK("https://svao.dolgi.msk.ru/account/1768035758/", 1768035758)</f>
        <v>1768035758</v>
      </c>
      <c r="D5525">
        <v>2507.44</v>
      </c>
    </row>
    <row r="5526" spans="1:4" x14ac:dyDescent="0.25">
      <c r="A5526" t="s">
        <v>588</v>
      </c>
      <c r="B5526" t="s">
        <v>126</v>
      </c>
      <c r="C5526" s="2">
        <f>HYPERLINK("https://svao.dolgi.msk.ru/account/1768035766/", 1768035766)</f>
        <v>1768035766</v>
      </c>
      <c r="D5526">
        <v>364.8</v>
      </c>
    </row>
    <row r="5527" spans="1:4" x14ac:dyDescent="0.25">
      <c r="A5527" t="s">
        <v>588</v>
      </c>
      <c r="B5527" t="s">
        <v>81</v>
      </c>
      <c r="C5527" s="2">
        <f>HYPERLINK("https://svao.dolgi.msk.ru/account/1768035811/", 1768035811)</f>
        <v>1768035811</v>
      </c>
      <c r="D5527">
        <v>2550.06</v>
      </c>
    </row>
    <row r="5528" spans="1:4" x14ac:dyDescent="0.25">
      <c r="A5528" t="s">
        <v>588</v>
      </c>
      <c r="B5528" t="s">
        <v>128</v>
      </c>
      <c r="C5528" s="2">
        <f>HYPERLINK("https://svao.dolgi.msk.ru/account/1768035862/", 1768035862)</f>
        <v>1768035862</v>
      </c>
      <c r="D5528">
        <v>2121.54</v>
      </c>
    </row>
    <row r="5529" spans="1:4" x14ac:dyDescent="0.25">
      <c r="A5529" t="s">
        <v>588</v>
      </c>
      <c r="B5529" t="s">
        <v>83</v>
      </c>
      <c r="C5529" s="2">
        <f>HYPERLINK("https://svao.dolgi.msk.ru/account/1768035897/", 1768035897)</f>
        <v>1768035897</v>
      </c>
      <c r="D5529">
        <v>812.37</v>
      </c>
    </row>
    <row r="5530" spans="1:4" x14ac:dyDescent="0.25">
      <c r="A5530" t="s">
        <v>588</v>
      </c>
      <c r="B5530" t="s">
        <v>132</v>
      </c>
      <c r="C5530" s="2">
        <f>HYPERLINK("https://svao.dolgi.msk.ru/account/1768035918/", 1768035918)</f>
        <v>1768035918</v>
      </c>
      <c r="D5530">
        <v>971.54</v>
      </c>
    </row>
    <row r="5531" spans="1:4" x14ac:dyDescent="0.25">
      <c r="A5531" t="s">
        <v>588</v>
      </c>
      <c r="B5531" t="s">
        <v>243</v>
      </c>
      <c r="C5531" s="2">
        <f>HYPERLINK("https://svao.dolgi.msk.ru/account/1768035977/", 1768035977)</f>
        <v>1768035977</v>
      </c>
      <c r="D5531">
        <v>1072.5899999999999</v>
      </c>
    </row>
    <row r="5532" spans="1:4" x14ac:dyDescent="0.25">
      <c r="A5532" t="s">
        <v>588</v>
      </c>
      <c r="B5532" t="s">
        <v>134</v>
      </c>
      <c r="C5532" s="2">
        <f>HYPERLINK("https://svao.dolgi.msk.ru/account/1768035993/", 1768035993)</f>
        <v>1768035993</v>
      </c>
      <c r="D5532">
        <v>1672.1</v>
      </c>
    </row>
    <row r="5533" spans="1:4" x14ac:dyDescent="0.25">
      <c r="A5533" t="s">
        <v>588</v>
      </c>
      <c r="B5533" t="s">
        <v>139</v>
      </c>
      <c r="C5533" s="2">
        <f>HYPERLINK("https://svao.dolgi.msk.ru/account/1768036005/", 1768036005)</f>
        <v>1768036005</v>
      </c>
      <c r="D5533">
        <v>733.92</v>
      </c>
    </row>
    <row r="5534" spans="1:4" x14ac:dyDescent="0.25">
      <c r="A5534" t="s">
        <v>588</v>
      </c>
      <c r="B5534" t="s">
        <v>29</v>
      </c>
      <c r="C5534" s="2">
        <f>HYPERLINK("https://svao.dolgi.msk.ru/account/1768036013/", 1768036013)</f>
        <v>1768036013</v>
      </c>
      <c r="D5534">
        <v>2054.7199999999998</v>
      </c>
    </row>
    <row r="5535" spans="1:4" x14ac:dyDescent="0.25">
      <c r="A5535" t="s">
        <v>588</v>
      </c>
      <c r="B5535" t="s">
        <v>244</v>
      </c>
      <c r="C5535" s="2">
        <f>HYPERLINK("https://svao.dolgi.msk.ru/account/1768036021/", 1768036021)</f>
        <v>1768036021</v>
      </c>
      <c r="D5535">
        <v>728.37</v>
      </c>
    </row>
    <row r="5536" spans="1:4" x14ac:dyDescent="0.25">
      <c r="A5536" t="s">
        <v>588</v>
      </c>
      <c r="B5536" t="s">
        <v>129</v>
      </c>
      <c r="C5536" s="2">
        <f>HYPERLINK("https://svao.dolgi.msk.ru/account/1768036048/", 1768036048)</f>
        <v>1768036048</v>
      </c>
      <c r="D5536">
        <v>2269.7399999999998</v>
      </c>
    </row>
    <row r="5537" spans="1:4" x14ac:dyDescent="0.25">
      <c r="A5537" t="s">
        <v>588</v>
      </c>
      <c r="B5537" t="s">
        <v>97</v>
      </c>
      <c r="C5537" s="2">
        <f>HYPERLINK("https://svao.dolgi.msk.ru/account/1768036064/", 1768036064)</f>
        <v>1768036064</v>
      </c>
      <c r="D5537">
        <v>35309.31</v>
      </c>
    </row>
    <row r="5538" spans="1:4" x14ac:dyDescent="0.25">
      <c r="A5538" t="s">
        <v>588</v>
      </c>
      <c r="B5538" t="s">
        <v>31</v>
      </c>
      <c r="C5538" s="2">
        <f>HYPERLINK("https://svao.dolgi.msk.ru/account/1768036099/", 1768036099)</f>
        <v>1768036099</v>
      </c>
      <c r="D5538">
        <v>370.1</v>
      </c>
    </row>
    <row r="5539" spans="1:4" x14ac:dyDescent="0.25">
      <c r="A5539" t="s">
        <v>588</v>
      </c>
      <c r="B5539" t="s">
        <v>98</v>
      </c>
      <c r="C5539" s="2">
        <f>HYPERLINK("https://svao.dolgi.msk.ru/account/1768036101/", 1768036101)</f>
        <v>1768036101</v>
      </c>
      <c r="D5539">
        <v>3488.84</v>
      </c>
    </row>
    <row r="5540" spans="1:4" x14ac:dyDescent="0.25">
      <c r="A5540" t="s">
        <v>588</v>
      </c>
      <c r="B5540" t="s">
        <v>245</v>
      </c>
      <c r="C5540" s="2">
        <f>HYPERLINK("https://svao.dolgi.msk.ru/account/1768036128/", 1768036128)</f>
        <v>1768036128</v>
      </c>
      <c r="D5540">
        <v>803.2</v>
      </c>
    </row>
    <row r="5541" spans="1:4" x14ac:dyDescent="0.25">
      <c r="A5541" t="s">
        <v>588</v>
      </c>
      <c r="B5541" t="s">
        <v>32</v>
      </c>
      <c r="C5541" s="2">
        <f>HYPERLINK("https://svao.dolgi.msk.ru/account/1768036136/", 1768036136)</f>
        <v>1768036136</v>
      </c>
      <c r="D5541">
        <v>1542.81</v>
      </c>
    </row>
    <row r="5542" spans="1:4" x14ac:dyDescent="0.25">
      <c r="A5542" t="s">
        <v>588</v>
      </c>
      <c r="B5542" t="s">
        <v>85</v>
      </c>
      <c r="C5542" s="2">
        <f>HYPERLINK("https://svao.dolgi.msk.ru/account/1768036144/", 1768036144)</f>
        <v>1768036144</v>
      </c>
      <c r="D5542">
        <v>1352.25</v>
      </c>
    </row>
    <row r="5543" spans="1:4" x14ac:dyDescent="0.25">
      <c r="A5543" t="s">
        <v>588</v>
      </c>
      <c r="B5543" t="s">
        <v>33</v>
      </c>
      <c r="C5543" s="2">
        <f>HYPERLINK("https://svao.dolgi.msk.ru/account/1768036152/", 1768036152)</f>
        <v>1768036152</v>
      </c>
      <c r="D5543">
        <v>56234.38</v>
      </c>
    </row>
    <row r="5544" spans="1:4" x14ac:dyDescent="0.25">
      <c r="A5544" t="s">
        <v>588</v>
      </c>
      <c r="B5544" t="s">
        <v>34</v>
      </c>
      <c r="C5544" s="2">
        <f>HYPERLINK("https://svao.dolgi.msk.ru/account/1768036179/", 1768036179)</f>
        <v>1768036179</v>
      </c>
      <c r="D5544">
        <v>361.04</v>
      </c>
    </row>
    <row r="5545" spans="1:4" x14ac:dyDescent="0.25">
      <c r="A5545" t="s">
        <v>588</v>
      </c>
      <c r="B5545" t="s">
        <v>35</v>
      </c>
      <c r="C5545" s="2">
        <f>HYPERLINK("https://svao.dolgi.msk.ru/account/1768001152/", 1768001152)</f>
        <v>1768001152</v>
      </c>
      <c r="D5545">
        <v>401.98</v>
      </c>
    </row>
    <row r="5546" spans="1:4" x14ac:dyDescent="0.25">
      <c r="A5546" t="s">
        <v>588</v>
      </c>
      <c r="B5546" t="s">
        <v>99</v>
      </c>
      <c r="C5546" s="2">
        <f>HYPERLINK("https://svao.dolgi.msk.ru/account/1768036187/", 1768036187)</f>
        <v>1768036187</v>
      </c>
      <c r="D5546">
        <v>10996.38</v>
      </c>
    </row>
    <row r="5547" spans="1:4" x14ac:dyDescent="0.25">
      <c r="A5547" t="s">
        <v>588</v>
      </c>
      <c r="B5547" t="s">
        <v>135</v>
      </c>
      <c r="C5547" s="2">
        <f>HYPERLINK("https://svao.dolgi.msk.ru/account/1768036195/", 1768036195)</f>
        <v>1768036195</v>
      </c>
      <c r="D5547">
        <v>1074.69</v>
      </c>
    </row>
    <row r="5548" spans="1:4" x14ac:dyDescent="0.25">
      <c r="A5548" t="s">
        <v>588</v>
      </c>
      <c r="B5548" t="s">
        <v>86</v>
      </c>
      <c r="C5548" s="2">
        <f>HYPERLINK("https://svao.dolgi.msk.ru/account/1768036208/", 1768036208)</f>
        <v>1768036208</v>
      </c>
      <c r="D5548">
        <v>162.6</v>
      </c>
    </row>
    <row r="5549" spans="1:4" x14ac:dyDescent="0.25">
      <c r="A5549" t="s">
        <v>588</v>
      </c>
      <c r="B5549" t="s">
        <v>333</v>
      </c>
      <c r="C5549" s="2">
        <f>HYPERLINK("https://svao.dolgi.msk.ru/account/1768036216/", 1768036216)</f>
        <v>1768036216</v>
      </c>
      <c r="D5549">
        <v>106.41</v>
      </c>
    </row>
    <row r="5550" spans="1:4" x14ac:dyDescent="0.25">
      <c r="A5550" t="s">
        <v>588</v>
      </c>
      <c r="B5550" t="s">
        <v>87</v>
      </c>
      <c r="C5550" s="2">
        <f>HYPERLINK("https://svao.dolgi.msk.ru/account/1768036224/", 1768036224)</f>
        <v>1768036224</v>
      </c>
      <c r="D5550">
        <v>1078.8900000000001</v>
      </c>
    </row>
    <row r="5551" spans="1:4" x14ac:dyDescent="0.25">
      <c r="A5551" t="s">
        <v>588</v>
      </c>
      <c r="B5551" t="s">
        <v>88</v>
      </c>
      <c r="C5551" s="2">
        <f>HYPERLINK("https://svao.dolgi.msk.ru/account/1768036259/", 1768036259)</f>
        <v>1768036259</v>
      </c>
      <c r="D5551">
        <v>16702.47</v>
      </c>
    </row>
    <row r="5552" spans="1:4" x14ac:dyDescent="0.25">
      <c r="A5552" t="s">
        <v>588</v>
      </c>
      <c r="B5552" t="s">
        <v>246</v>
      </c>
      <c r="C5552" s="2">
        <f>HYPERLINK("https://svao.dolgi.msk.ru/account/1768036283/", 1768036283)</f>
        <v>1768036283</v>
      </c>
      <c r="D5552">
        <v>1463.05</v>
      </c>
    </row>
    <row r="5553" spans="1:4" x14ac:dyDescent="0.25">
      <c r="A5553" t="s">
        <v>588</v>
      </c>
      <c r="B5553" t="s">
        <v>43</v>
      </c>
      <c r="C5553" s="2">
        <f>HYPERLINK("https://svao.dolgi.msk.ru/account/1768036291/", 1768036291)</f>
        <v>1768036291</v>
      </c>
      <c r="D5553">
        <v>19750.75</v>
      </c>
    </row>
    <row r="5554" spans="1:4" x14ac:dyDescent="0.25">
      <c r="A5554" t="s">
        <v>588</v>
      </c>
      <c r="B5554" t="s">
        <v>44</v>
      </c>
      <c r="C5554" s="2">
        <f>HYPERLINK("https://svao.dolgi.msk.ru/account/1768036312/", 1768036312)</f>
        <v>1768036312</v>
      </c>
      <c r="D5554">
        <v>23877.47</v>
      </c>
    </row>
    <row r="5555" spans="1:4" x14ac:dyDescent="0.25">
      <c r="A5555" t="s">
        <v>588</v>
      </c>
      <c r="B5555" t="s">
        <v>142</v>
      </c>
      <c r="C5555" s="2">
        <f>HYPERLINK("https://svao.dolgi.msk.ru/account/1768036347/", 1768036347)</f>
        <v>1768036347</v>
      </c>
      <c r="D5555">
        <v>78258.34</v>
      </c>
    </row>
    <row r="5556" spans="1:4" x14ac:dyDescent="0.25">
      <c r="A5556" t="s">
        <v>588</v>
      </c>
      <c r="B5556" t="s">
        <v>45</v>
      </c>
      <c r="C5556" s="2">
        <f>HYPERLINK("https://svao.dolgi.msk.ru/account/1768001291/", 1768001291)</f>
        <v>1768001291</v>
      </c>
      <c r="D5556">
        <v>475.3</v>
      </c>
    </row>
    <row r="5557" spans="1:4" x14ac:dyDescent="0.25">
      <c r="A5557" t="s">
        <v>588</v>
      </c>
      <c r="B5557" t="s">
        <v>144</v>
      </c>
      <c r="C5557" s="2">
        <f>HYPERLINK("https://svao.dolgi.msk.ru/account/1768036371/", 1768036371)</f>
        <v>1768036371</v>
      </c>
      <c r="D5557">
        <v>801.95</v>
      </c>
    </row>
    <row r="5558" spans="1:4" x14ac:dyDescent="0.25">
      <c r="A5558" t="s">
        <v>588</v>
      </c>
      <c r="B5558" t="s">
        <v>46</v>
      </c>
      <c r="C5558" s="2">
        <f>HYPERLINK("https://svao.dolgi.msk.ru/account/1768036427/", 1768036427)</f>
        <v>1768036427</v>
      </c>
      <c r="D5558">
        <v>3442.22</v>
      </c>
    </row>
    <row r="5559" spans="1:4" x14ac:dyDescent="0.25">
      <c r="A5559" t="s">
        <v>588</v>
      </c>
      <c r="B5559" t="s">
        <v>339</v>
      </c>
      <c r="C5559" s="2">
        <f>HYPERLINK("https://svao.dolgi.msk.ru/account/1768036451/", 1768036451)</f>
        <v>1768036451</v>
      </c>
      <c r="D5559">
        <v>1138.25</v>
      </c>
    </row>
    <row r="5560" spans="1:4" x14ac:dyDescent="0.25">
      <c r="A5560" t="s">
        <v>588</v>
      </c>
      <c r="B5560" t="s">
        <v>47</v>
      </c>
      <c r="C5560" s="2">
        <f>HYPERLINK("https://svao.dolgi.msk.ru/account/1768001267/", 1768001267)</f>
        <v>1768001267</v>
      </c>
      <c r="D5560">
        <v>593.25</v>
      </c>
    </row>
    <row r="5561" spans="1:4" x14ac:dyDescent="0.25">
      <c r="A5561" t="s">
        <v>588</v>
      </c>
      <c r="B5561" t="s">
        <v>146</v>
      </c>
      <c r="C5561" s="2">
        <f>HYPERLINK("https://svao.dolgi.msk.ru/account/1768036478/", 1768036478)</f>
        <v>1768036478</v>
      </c>
      <c r="D5561">
        <v>2048.06</v>
      </c>
    </row>
    <row r="5562" spans="1:4" x14ac:dyDescent="0.25">
      <c r="A5562" t="s">
        <v>588</v>
      </c>
      <c r="B5562" t="s">
        <v>48</v>
      </c>
      <c r="C5562" s="2">
        <f>HYPERLINK("https://svao.dolgi.msk.ru/account/1768036486/", 1768036486)</f>
        <v>1768036486</v>
      </c>
      <c r="D5562">
        <v>2314.6</v>
      </c>
    </row>
    <row r="5563" spans="1:4" x14ac:dyDescent="0.25">
      <c r="A5563" t="s">
        <v>588</v>
      </c>
      <c r="B5563" t="s">
        <v>251</v>
      </c>
      <c r="C5563" s="2">
        <f>HYPERLINK("https://svao.dolgi.msk.ru/account/1768036523/", 1768036523)</f>
        <v>1768036523</v>
      </c>
      <c r="D5563">
        <v>711.58</v>
      </c>
    </row>
    <row r="5564" spans="1:4" x14ac:dyDescent="0.25">
      <c r="A5564" t="s">
        <v>588</v>
      </c>
      <c r="B5564" t="s">
        <v>51</v>
      </c>
      <c r="C5564" s="2">
        <f>HYPERLINK("https://svao.dolgi.msk.ru/account/1768036558/", 1768036558)</f>
        <v>1768036558</v>
      </c>
      <c r="D5564">
        <v>642.29</v>
      </c>
    </row>
    <row r="5565" spans="1:4" x14ac:dyDescent="0.25">
      <c r="A5565" t="s">
        <v>588</v>
      </c>
      <c r="B5565" t="s">
        <v>334</v>
      </c>
      <c r="C5565" s="2">
        <f>HYPERLINK("https://svao.dolgi.msk.ru/account/1768001216/", 1768001216)</f>
        <v>1768001216</v>
      </c>
      <c r="D5565">
        <v>771.4</v>
      </c>
    </row>
    <row r="5566" spans="1:4" x14ac:dyDescent="0.25">
      <c r="A5566" t="s">
        <v>588</v>
      </c>
      <c r="B5566" t="s">
        <v>331</v>
      </c>
      <c r="C5566" s="2">
        <f>HYPERLINK("https://svao.dolgi.msk.ru/account/1768036566/", 1768036566)</f>
        <v>1768036566</v>
      </c>
      <c r="D5566">
        <v>339.39</v>
      </c>
    </row>
    <row r="5567" spans="1:4" x14ac:dyDescent="0.25">
      <c r="A5567" t="s">
        <v>588</v>
      </c>
      <c r="B5567" t="s">
        <v>52</v>
      </c>
      <c r="C5567" s="2">
        <f>HYPERLINK("https://svao.dolgi.msk.ru/account/1768036574/", 1768036574)</f>
        <v>1768036574</v>
      </c>
      <c r="D5567">
        <v>3752.16</v>
      </c>
    </row>
    <row r="5568" spans="1:4" x14ac:dyDescent="0.25">
      <c r="A5568" t="s">
        <v>588</v>
      </c>
      <c r="B5568" t="s">
        <v>316</v>
      </c>
      <c r="C5568" s="2">
        <f>HYPERLINK("https://svao.dolgi.msk.ru/account/1768036582/", 1768036582)</f>
        <v>1768036582</v>
      </c>
      <c r="D5568">
        <v>1285.71</v>
      </c>
    </row>
    <row r="5569" spans="1:4" x14ac:dyDescent="0.25">
      <c r="A5569" t="s">
        <v>588</v>
      </c>
      <c r="B5569" t="s">
        <v>148</v>
      </c>
      <c r="C5569" s="2">
        <f>HYPERLINK("https://svao.dolgi.msk.ru/account/1768036603/", 1768036603)</f>
        <v>1768036603</v>
      </c>
      <c r="D5569">
        <v>311.83</v>
      </c>
    </row>
    <row r="5570" spans="1:4" x14ac:dyDescent="0.25">
      <c r="A5570" t="s">
        <v>588</v>
      </c>
      <c r="B5570" t="s">
        <v>307</v>
      </c>
      <c r="C5570" s="2">
        <f>HYPERLINK("https://svao.dolgi.msk.ru/account/1768036646/", 1768036646)</f>
        <v>1768036646</v>
      </c>
      <c r="D5570">
        <v>203.02</v>
      </c>
    </row>
    <row r="5571" spans="1:4" x14ac:dyDescent="0.25">
      <c r="A5571" t="s">
        <v>588</v>
      </c>
      <c r="B5571" t="s">
        <v>428</v>
      </c>
      <c r="C5571" s="2">
        <f>HYPERLINK("https://svao.dolgi.msk.ru/account/1768036734/", 1768036734)</f>
        <v>1768036734</v>
      </c>
      <c r="D5571">
        <v>2097.1999999999998</v>
      </c>
    </row>
    <row r="5572" spans="1:4" x14ac:dyDescent="0.25">
      <c r="A5572" t="s">
        <v>588</v>
      </c>
      <c r="B5572" t="s">
        <v>308</v>
      </c>
      <c r="C5572" s="2">
        <f>HYPERLINK("https://svao.dolgi.msk.ru/account/1768036742/", 1768036742)</f>
        <v>1768036742</v>
      </c>
      <c r="D5572">
        <v>226.1</v>
      </c>
    </row>
    <row r="5573" spans="1:4" x14ac:dyDescent="0.25">
      <c r="A5573" t="s">
        <v>588</v>
      </c>
      <c r="B5573" t="s">
        <v>309</v>
      </c>
      <c r="C5573" s="2">
        <f>HYPERLINK("https://svao.dolgi.msk.ru/account/1768036769/", 1768036769)</f>
        <v>1768036769</v>
      </c>
      <c r="D5573">
        <v>6204.71</v>
      </c>
    </row>
    <row r="5574" spans="1:4" x14ac:dyDescent="0.25">
      <c r="A5574" t="s">
        <v>588</v>
      </c>
      <c r="B5574" t="s">
        <v>254</v>
      </c>
      <c r="C5574" s="2">
        <f>HYPERLINK("https://svao.dolgi.msk.ru/account/1768036777/", 1768036777)</f>
        <v>1768036777</v>
      </c>
      <c r="D5574">
        <v>70016.2</v>
      </c>
    </row>
    <row r="5575" spans="1:4" x14ac:dyDescent="0.25">
      <c r="A5575" t="s">
        <v>588</v>
      </c>
      <c r="B5575" t="s">
        <v>55</v>
      </c>
      <c r="C5575" s="2">
        <f>HYPERLINK("https://svao.dolgi.msk.ru/account/1768036806/", 1768036806)</f>
        <v>1768036806</v>
      </c>
      <c r="D5575">
        <v>167.83</v>
      </c>
    </row>
    <row r="5576" spans="1:4" x14ac:dyDescent="0.25">
      <c r="A5576" t="s">
        <v>589</v>
      </c>
      <c r="B5576" t="s">
        <v>41</v>
      </c>
      <c r="C5576" s="2">
        <f>HYPERLINK("https://svao.dolgi.msk.ru/account/1768038799/", 1768038799)</f>
        <v>1768038799</v>
      </c>
      <c r="D5576">
        <v>1020.42</v>
      </c>
    </row>
    <row r="5577" spans="1:4" x14ac:dyDescent="0.25">
      <c r="A5577" t="s">
        <v>589</v>
      </c>
      <c r="B5577" t="s">
        <v>5</v>
      </c>
      <c r="C5577" s="2">
        <f>HYPERLINK("https://svao.dolgi.msk.ru/account/1768038801/", 1768038801)</f>
        <v>1768038801</v>
      </c>
      <c r="D5577">
        <v>1890.72</v>
      </c>
    </row>
    <row r="5578" spans="1:4" x14ac:dyDescent="0.25">
      <c r="A5578" t="s">
        <v>589</v>
      </c>
      <c r="B5578" t="s">
        <v>101</v>
      </c>
      <c r="C5578" s="2">
        <f>HYPERLINK("https://svao.dolgi.msk.ru/account/1768038836/", 1768038836)</f>
        <v>1768038836</v>
      </c>
      <c r="D5578">
        <v>865.91</v>
      </c>
    </row>
    <row r="5579" spans="1:4" x14ac:dyDescent="0.25">
      <c r="A5579" t="s">
        <v>589</v>
      </c>
      <c r="B5579" t="s">
        <v>102</v>
      </c>
      <c r="C5579" s="2">
        <f>HYPERLINK("https://svao.dolgi.msk.ru/account/1768038852/", 1768038852)</f>
        <v>1768038852</v>
      </c>
      <c r="D5579">
        <v>847.12</v>
      </c>
    </row>
    <row r="5580" spans="1:4" x14ac:dyDescent="0.25">
      <c r="A5580" t="s">
        <v>589</v>
      </c>
      <c r="B5580" t="s">
        <v>103</v>
      </c>
      <c r="C5580" s="2">
        <f>HYPERLINK("https://svao.dolgi.msk.ru/account/1768038879/", 1768038879)</f>
        <v>1768038879</v>
      </c>
      <c r="D5580">
        <v>914.15</v>
      </c>
    </row>
    <row r="5581" spans="1:4" x14ac:dyDescent="0.25">
      <c r="A5581" t="s">
        <v>589</v>
      </c>
      <c r="B5581" t="s">
        <v>104</v>
      </c>
      <c r="C5581" s="2">
        <f>HYPERLINK("https://svao.dolgi.msk.ru/account/1768038895/", 1768038895)</f>
        <v>1768038895</v>
      </c>
      <c r="D5581">
        <v>37020.080000000002</v>
      </c>
    </row>
    <row r="5582" spans="1:4" x14ac:dyDescent="0.25">
      <c r="A5582" t="s">
        <v>589</v>
      </c>
      <c r="B5582" t="s">
        <v>8</v>
      </c>
      <c r="C5582" s="2">
        <f>HYPERLINK("https://svao.dolgi.msk.ru/account/1768038908/", 1768038908)</f>
        <v>1768038908</v>
      </c>
      <c r="D5582">
        <v>4996.8599999999997</v>
      </c>
    </row>
    <row r="5583" spans="1:4" x14ac:dyDescent="0.25">
      <c r="A5583" t="s">
        <v>589</v>
      </c>
      <c r="B5583" t="s">
        <v>137</v>
      </c>
      <c r="C5583" s="2">
        <f>HYPERLINK("https://svao.dolgi.msk.ru/account/1768038916/", 1768038916)</f>
        <v>1768038916</v>
      </c>
      <c r="D5583">
        <v>856.29</v>
      </c>
    </row>
    <row r="5584" spans="1:4" x14ac:dyDescent="0.25">
      <c r="A5584" t="s">
        <v>589</v>
      </c>
      <c r="B5584" t="s">
        <v>14</v>
      </c>
      <c r="C5584" s="2">
        <f>HYPERLINK("https://svao.dolgi.msk.ru/account/1768038991/", 1768038991)</f>
        <v>1768038991</v>
      </c>
      <c r="D5584">
        <v>170.07</v>
      </c>
    </row>
    <row r="5585" spans="1:4" x14ac:dyDescent="0.25">
      <c r="A5585" t="s">
        <v>589</v>
      </c>
      <c r="B5585" t="s">
        <v>107</v>
      </c>
      <c r="C5585" s="2">
        <f>HYPERLINK("https://svao.dolgi.msk.ru/account/1768002358/", 1768002358)</f>
        <v>1768002358</v>
      </c>
      <c r="D5585">
        <v>631.13</v>
      </c>
    </row>
    <row r="5586" spans="1:4" x14ac:dyDescent="0.25">
      <c r="A5586" t="s">
        <v>589</v>
      </c>
      <c r="B5586" t="s">
        <v>15</v>
      </c>
      <c r="C5586" s="2">
        <f>HYPERLINK("https://svao.dolgi.msk.ru/account/1768002382/", 1768002382)</f>
        <v>1768002382</v>
      </c>
      <c r="D5586">
        <v>838.89</v>
      </c>
    </row>
    <row r="5587" spans="1:4" x14ac:dyDescent="0.25">
      <c r="A5587" t="s">
        <v>589</v>
      </c>
      <c r="B5587" t="s">
        <v>16</v>
      </c>
      <c r="C5587" s="2">
        <f>HYPERLINK("https://svao.dolgi.msk.ru/account/1768039038/", 1768039038)</f>
        <v>1768039038</v>
      </c>
      <c r="D5587">
        <v>293.94</v>
      </c>
    </row>
    <row r="5588" spans="1:4" x14ac:dyDescent="0.25">
      <c r="A5588" t="s">
        <v>589</v>
      </c>
      <c r="B5588" t="s">
        <v>18</v>
      </c>
      <c r="C5588" s="2">
        <f>HYPERLINK("https://svao.dolgi.msk.ru/account/1768039054/", 1768039054)</f>
        <v>1768039054</v>
      </c>
      <c r="D5588">
        <v>1240.26</v>
      </c>
    </row>
    <row r="5589" spans="1:4" x14ac:dyDescent="0.25">
      <c r="A5589" t="s">
        <v>589</v>
      </c>
      <c r="B5589" t="s">
        <v>110</v>
      </c>
      <c r="C5589" s="2">
        <f>HYPERLINK("https://svao.dolgi.msk.ru/account/1768039089/", 1768039089)</f>
        <v>1768039089</v>
      </c>
      <c r="D5589">
        <v>1530.42</v>
      </c>
    </row>
    <row r="5590" spans="1:4" x14ac:dyDescent="0.25">
      <c r="A5590" t="s">
        <v>589</v>
      </c>
      <c r="B5590" t="s">
        <v>20</v>
      </c>
      <c r="C5590" s="2">
        <f>HYPERLINK("https://svao.dolgi.msk.ru/account/1768039097/", 1768039097)</f>
        <v>1768039097</v>
      </c>
      <c r="D5590">
        <v>39120.53</v>
      </c>
    </row>
    <row r="5591" spans="1:4" x14ac:dyDescent="0.25">
      <c r="A5591" t="s">
        <v>589</v>
      </c>
      <c r="B5591" t="s">
        <v>92</v>
      </c>
      <c r="C5591" s="2">
        <f>HYPERLINK("https://svao.dolgi.msk.ru/account/1768039126/", 1768039126)</f>
        <v>1768039126</v>
      </c>
      <c r="D5591">
        <v>48961.77</v>
      </c>
    </row>
    <row r="5592" spans="1:4" x14ac:dyDescent="0.25">
      <c r="A5592" t="s">
        <v>589</v>
      </c>
      <c r="B5592" t="s">
        <v>93</v>
      </c>
      <c r="C5592" s="2">
        <f>HYPERLINK("https://svao.dolgi.msk.ru/account/1768039134/", 1768039134)</f>
        <v>1768039134</v>
      </c>
      <c r="D5592">
        <v>307.92</v>
      </c>
    </row>
    <row r="5593" spans="1:4" x14ac:dyDescent="0.25">
      <c r="A5593" t="s">
        <v>589</v>
      </c>
      <c r="B5593" t="s">
        <v>112</v>
      </c>
      <c r="C5593" s="2">
        <f>HYPERLINK("https://svao.dolgi.msk.ru/account/1768039177/", 1768039177)</f>
        <v>1768039177</v>
      </c>
      <c r="D5593">
        <v>49582.92</v>
      </c>
    </row>
    <row r="5594" spans="1:4" x14ac:dyDescent="0.25">
      <c r="A5594" t="s">
        <v>589</v>
      </c>
      <c r="B5594" t="s">
        <v>77</v>
      </c>
      <c r="C5594" s="2">
        <f>HYPERLINK("https://svao.dolgi.msk.ru/account/1768039185/", 1768039185)</f>
        <v>1768039185</v>
      </c>
      <c r="D5594">
        <v>1229.44</v>
      </c>
    </row>
    <row r="5595" spans="1:4" x14ac:dyDescent="0.25">
      <c r="A5595" t="s">
        <v>589</v>
      </c>
      <c r="B5595" t="s">
        <v>114</v>
      </c>
      <c r="C5595" s="2">
        <f>HYPERLINK("https://svao.dolgi.msk.ru/account/1768039193/", 1768039193)</f>
        <v>1768039193</v>
      </c>
      <c r="D5595">
        <v>2489.66</v>
      </c>
    </row>
    <row r="5596" spans="1:4" x14ac:dyDescent="0.25">
      <c r="A5596" t="s">
        <v>589</v>
      </c>
      <c r="B5596" t="s">
        <v>78</v>
      </c>
      <c r="C5596" s="2">
        <f>HYPERLINK("https://svao.dolgi.msk.ru/account/1768039206/", 1768039206)</f>
        <v>1768039206</v>
      </c>
      <c r="D5596">
        <v>2968.04</v>
      </c>
    </row>
    <row r="5597" spans="1:4" x14ac:dyDescent="0.25">
      <c r="A5597" t="s">
        <v>589</v>
      </c>
      <c r="B5597" t="s">
        <v>79</v>
      </c>
      <c r="C5597" s="2">
        <f>HYPERLINK("https://svao.dolgi.msk.ru/account/1768039222/", 1768039222)</f>
        <v>1768039222</v>
      </c>
      <c r="D5597">
        <v>4507.2299999999996</v>
      </c>
    </row>
    <row r="5598" spans="1:4" x14ac:dyDescent="0.25">
      <c r="A5598" t="s">
        <v>589</v>
      </c>
      <c r="B5598" t="s">
        <v>23</v>
      </c>
      <c r="C5598" s="2">
        <f>HYPERLINK("https://svao.dolgi.msk.ru/account/1768039249/", 1768039249)</f>
        <v>1768039249</v>
      </c>
      <c r="D5598">
        <v>113.38</v>
      </c>
    </row>
    <row r="5599" spans="1:4" x14ac:dyDescent="0.25">
      <c r="A5599" t="s">
        <v>589</v>
      </c>
      <c r="B5599" t="s">
        <v>124</v>
      </c>
      <c r="C5599" s="2">
        <f>HYPERLINK("https://svao.dolgi.msk.ru/account/1768039257/", 1768039257)</f>
        <v>1768039257</v>
      </c>
      <c r="D5599">
        <v>3846.83</v>
      </c>
    </row>
    <row r="5600" spans="1:4" x14ac:dyDescent="0.25">
      <c r="A5600" t="s">
        <v>589</v>
      </c>
      <c r="B5600" t="s">
        <v>320</v>
      </c>
      <c r="C5600" s="2">
        <f>HYPERLINK("https://svao.dolgi.msk.ru/account/1768039273/", 1768039273)</f>
        <v>1768039273</v>
      </c>
      <c r="D5600">
        <v>8589.1200000000008</v>
      </c>
    </row>
    <row r="5601" spans="1:4" x14ac:dyDescent="0.25">
      <c r="A5601" t="s">
        <v>589</v>
      </c>
      <c r="B5601" t="s">
        <v>242</v>
      </c>
      <c r="C5601" s="2">
        <f>HYPERLINK("https://svao.dolgi.msk.ru/account/1768039302/", 1768039302)</f>
        <v>1768039302</v>
      </c>
      <c r="D5601">
        <v>368.49</v>
      </c>
    </row>
    <row r="5602" spans="1:4" x14ac:dyDescent="0.25">
      <c r="A5602" t="s">
        <v>589</v>
      </c>
      <c r="B5602" t="s">
        <v>131</v>
      </c>
      <c r="C5602" s="2">
        <f>HYPERLINK("https://svao.dolgi.msk.ru/account/1768039337/", 1768039337)</f>
        <v>1768039337</v>
      </c>
      <c r="D5602">
        <v>850.73</v>
      </c>
    </row>
    <row r="5603" spans="1:4" x14ac:dyDescent="0.25">
      <c r="A5603" t="s">
        <v>589</v>
      </c>
      <c r="B5603" t="s">
        <v>126</v>
      </c>
      <c r="C5603" s="2">
        <f>HYPERLINK("https://svao.dolgi.msk.ru/account/1768002454/", 1768002454)</f>
        <v>1768002454</v>
      </c>
      <c r="D5603">
        <v>2818.72</v>
      </c>
    </row>
    <row r="5604" spans="1:4" x14ac:dyDescent="0.25">
      <c r="A5604" t="s">
        <v>589</v>
      </c>
      <c r="B5604" t="s">
        <v>128</v>
      </c>
      <c r="C5604" s="2">
        <f>HYPERLINK("https://svao.dolgi.msk.ru/account/1768039417/", 1768039417)</f>
        <v>1768039417</v>
      </c>
      <c r="D5604">
        <v>1075.33</v>
      </c>
    </row>
    <row r="5605" spans="1:4" x14ac:dyDescent="0.25">
      <c r="A5605" t="s">
        <v>589</v>
      </c>
      <c r="B5605" t="s">
        <v>83</v>
      </c>
      <c r="C5605" s="2">
        <f>HYPERLINK("https://svao.dolgi.msk.ru/account/1768039433/", 1768039433)</f>
        <v>1768039433</v>
      </c>
      <c r="D5605">
        <v>530.12</v>
      </c>
    </row>
    <row r="5606" spans="1:4" x14ac:dyDescent="0.25">
      <c r="A5606" t="s">
        <v>589</v>
      </c>
      <c r="B5606" t="s">
        <v>132</v>
      </c>
      <c r="C5606" s="2">
        <f>HYPERLINK("https://svao.dolgi.msk.ru/account/1768039441/", 1768039441)</f>
        <v>1768039441</v>
      </c>
      <c r="D5606">
        <v>1720.58</v>
      </c>
    </row>
    <row r="5607" spans="1:4" x14ac:dyDescent="0.25">
      <c r="A5607" t="s">
        <v>589</v>
      </c>
      <c r="B5607" t="s">
        <v>26</v>
      </c>
      <c r="C5607" s="2">
        <f>HYPERLINK("https://svao.dolgi.msk.ru/account/1768039468/", 1768039468)</f>
        <v>1768039468</v>
      </c>
      <c r="D5607">
        <v>7288.22</v>
      </c>
    </row>
    <row r="5608" spans="1:4" x14ac:dyDescent="0.25">
      <c r="A5608" t="s">
        <v>589</v>
      </c>
      <c r="B5608" t="s">
        <v>133</v>
      </c>
      <c r="C5608" s="2">
        <f>HYPERLINK("https://svao.dolgi.msk.ru/account/1768039476/", 1768039476)</f>
        <v>1768039476</v>
      </c>
      <c r="D5608">
        <v>1865.9</v>
      </c>
    </row>
    <row r="5609" spans="1:4" x14ac:dyDescent="0.25">
      <c r="A5609" t="s">
        <v>589</v>
      </c>
      <c r="B5609" t="s">
        <v>96</v>
      </c>
      <c r="C5609" s="2">
        <f>HYPERLINK("https://svao.dolgi.msk.ru/account/1768039484/", 1768039484)</f>
        <v>1768039484</v>
      </c>
      <c r="D5609">
        <v>1008.35</v>
      </c>
    </row>
    <row r="5610" spans="1:4" x14ac:dyDescent="0.25">
      <c r="A5610" t="s">
        <v>589</v>
      </c>
      <c r="B5610" t="s">
        <v>290</v>
      </c>
      <c r="C5610" s="2">
        <f>HYPERLINK("https://svao.dolgi.msk.ru/account/1768039505/", 1768039505)</f>
        <v>1768039505</v>
      </c>
      <c r="D5610">
        <v>453.52</v>
      </c>
    </row>
    <row r="5611" spans="1:4" x14ac:dyDescent="0.25">
      <c r="A5611" t="s">
        <v>589</v>
      </c>
      <c r="B5611" t="s">
        <v>28</v>
      </c>
      <c r="C5611" s="2">
        <f>HYPERLINK("https://svao.dolgi.msk.ru/account/1768039564/", 1768039564)</f>
        <v>1768039564</v>
      </c>
      <c r="D5611">
        <v>1448.31</v>
      </c>
    </row>
    <row r="5612" spans="1:4" x14ac:dyDescent="0.25">
      <c r="A5612" t="s">
        <v>589</v>
      </c>
      <c r="B5612" t="s">
        <v>29</v>
      </c>
      <c r="C5612" s="2">
        <f>HYPERLINK("https://svao.dolgi.msk.ru/account/1768026325/", 1768026325)</f>
        <v>1768026325</v>
      </c>
      <c r="D5612">
        <v>4210.62</v>
      </c>
    </row>
    <row r="5613" spans="1:4" x14ac:dyDescent="0.25">
      <c r="A5613" t="s">
        <v>589</v>
      </c>
      <c r="B5613" t="s">
        <v>129</v>
      </c>
      <c r="C5613" s="2">
        <f>HYPERLINK("https://svao.dolgi.msk.ru/account/1768039599/", 1768039599)</f>
        <v>1768039599</v>
      </c>
      <c r="D5613">
        <v>8550.61</v>
      </c>
    </row>
    <row r="5614" spans="1:4" x14ac:dyDescent="0.25">
      <c r="A5614" t="s">
        <v>590</v>
      </c>
      <c r="B5614" t="s">
        <v>41</v>
      </c>
      <c r="C5614" s="2">
        <f>HYPERLINK("https://svao.dolgi.msk.ru/account/1768042018/", 1768042018)</f>
        <v>1768042018</v>
      </c>
      <c r="D5614">
        <v>321.20999999999998</v>
      </c>
    </row>
    <row r="5615" spans="1:4" x14ac:dyDescent="0.25">
      <c r="A5615" t="s">
        <v>590</v>
      </c>
      <c r="B5615" t="s">
        <v>5</v>
      </c>
      <c r="C5615" s="2">
        <f>HYPERLINK("https://svao.dolgi.msk.ru/account/1768042026/", 1768042026)</f>
        <v>1768042026</v>
      </c>
      <c r="D5615">
        <v>2230.91</v>
      </c>
    </row>
    <row r="5616" spans="1:4" x14ac:dyDescent="0.25">
      <c r="A5616" t="s">
        <v>590</v>
      </c>
      <c r="B5616" t="s">
        <v>103</v>
      </c>
      <c r="C5616" s="2">
        <f>HYPERLINK("https://svao.dolgi.msk.ru/account/1768042085/", 1768042085)</f>
        <v>1768042085</v>
      </c>
      <c r="D5616">
        <v>606.61</v>
      </c>
    </row>
    <row r="5617" spans="1:4" x14ac:dyDescent="0.25">
      <c r="A5617" t="s">
        <v>590</v>
      </c>
      <c r="B5617" t="s">
        <v>219</v>
      </c>
      <c r="C5617" s="2">
        <f>HYPERLINK("https://svao.dolgi.msk.ru/account/1768042181/", 1768042181)</f>
        <v>1768042181</v>
      </c>
      <c r="D5617">
        <v>276.02</v>
      </c>
    </row>
    <row r="5618" spans="1:4" x14ac:dyDescent="0.25">
      <c r="A5618" t="s">
        <v>590</v>
      </c>
      <c r="B5618" t="s">
        <v>12</v>
      </c>
      <c r="C5618" s="2">
        <f>HYPERLINK("https://svao.dolgi.msk.ru/account/1768042229/", 1768042229)</f>
        <v>1768042229</v>
      </c>
      <c r="D5618">
        <v>472.36</v>
      </c>
    </row>
    <row r="5619" spans="1:4" x14ac:dyDescent="0.25">
      <c r="A5619" t="s">
        <v>590</v>
      </c>
      <c r="B5619" t="s">
        <v>18</v>
      </c>
      <c r="C5619" s="2">
        <f>HYPERLINK("https://svao.dolgi.msk.ru/account/1768042296/", 1768042296)</f>
        <v>1768042296</v>
      </c>
      <c r="D5619">
        <v>167.82</v>
      </c>
    </row>
    <row r="5620" spans="1:4" x14ac:dyDescent="0.25">
      <c r="A5620" t="s">
        <v>590</v>
      </c>
      <c r="B5620" t="s">
        <v>109</v>
      </c>
      <c r="C5620" s="2">
        <f>HYPERLINK("https://svao.dolgi.msk.ru/account/1768042317/", 1768042317)</f>
        <v>1768042317</v>
      </c>
      <c r="D5620">
        <v>138.94999999999999</v>
      </c>
    </row>
    <row r="5621" spans="1:4" x14ac:dyDescent="0.25">
      <c r="A5621" t="s">
        <v>590</v>
      </c>
      <c r="B5621" t="s">
        <v>20</v>
      </c>
      <c r="C5621" s="2">
        <f>HYPERLINK("https://svao.dolgi.msk.ru/account/1768042333/", 1768042333)</f>
        <v>1768042333</v>
      </c>
      <c r="D5621">
        <v>1081.33</v>
      </c>
    </row>
    <row r="5622" spans="1:4" x14ac:dyDescent="0.25">
      <c r="A5622" t="s">
        <v>590</v>
      </c>
      <c r="B5622" t="s">
        <v>93</v>
      </c>
      <c r="C5622" s="2">
        <f>HYPERLINK("https://svao.dolgi.msk.ru/account/1768042376/", 1768042376)</f>
        <v>1768042376</v>
      </c>
      <c r="D5622">
        <v>1208.48</v>
      </c>
    </row>
    <row r="5623" spans="1:4" x14ac:dyDescent="0.25">
      <c r="A5623" t="s">
        <v>590</v>
      </c>
      <c r="B5623" t="s">
        <v>111</v>
      </c>
      <c r="C5623" s="2">
        <f>HYPERLINK("https://svao.dolgi.msk.ru/account/1768042384/", 1768042384)</f>
        <v>1768042384</v>
      </c>
      <c r="D5623">
        <v>551.12</v>
      </c>
    </row>
    <row r="5624" spans="1:4" x14ac:dyDescent="0.25">
      <c r="A5624" t="s">
        <v>590</v>
      </c>
      <c r="B5624" t="s">
        <v>21</v>
      </c>
      <c r="C5624" s="2">
        <f>HYPERLINK("https://svao.dolgi.msk.ru/account/1768042421/", 1768042421)</f>
        <v>1768042421</v>
      </c>
      <c r="D5624">
        <v>688.61</v>
      </c>
    </row>
    <row r="5625" spans="1:4" x14ac:dyDescent="0.25">
      <c r="A5625" t="s">
        <v>590</v>
      </c>
      <c r="B5625" t="s">
        <v>78</v>
      </c>
      <c r="C5625" s="2">
        <f>HYPERLINK("https://svao.dolgi.msk.ru/account/1768042456/", 1768042456)</f>
        <v>1768042456</v>
      </c>
      <c r="D5625">
        <v>161.77000000000001</v>
      </c>
    </row>
    <row r="5626" spans="1:4" x14ac:dyDescent="0.25">
      <c r="A5626" t="s">
        <v>590</v>
      </c>
      <c r="B5626" t="s">
        <v>23</v>
      </c>
      <c r="C5626" s="2">
        <f>HYPERLINK("https://svao.dolgi.msk.ru/account/1768042499/", 1768042499)</f>
        <v>1768042499</v>
      </c>
      <c r="D5626">
        <v>111.54</v>
      </c>
    </row>
    <row r="5627" spans="1:4" x14ac:dyDescent="0.25">
      <c r="A5627" t="s">
        <v>590</v>
      </c>
      <c r="B5627" t="s">
        <v>124</v>
      </c>
      <c r="C5627" s="2">
        <f>HYPERLINK("https://svao.dolgi.msk.ru/account/1768042501/", 1768042501)</f>
        <v>1768042501</v>
      </c>
      <c r="D5627">
        <v>641.92999999999995</v>
      </c>
    </row>
    <row r="5628" spans="1:4" x14ac:dyDescent="0.25">
      <c r="A5628" t="s">
        <v>590</v>
      </c>
      <c r="B5628" t="s">
        <v>24</v>
      </c>
      <c r="C5628" s="2">
        <f>HYPERLINK("https://svao.dolgi.msk.ru/account/1768042544/", 1768042544)</f>
        <v>1768042544</v>
      </c>
      <c r="D5628">
        <v>100.26</v>
      </c>
    </row>
    <row r="5629" spans="1:4" x14ac:dyDescent="0.25">
      <c r="A5629" t="s">
        <v>590</v>
      </c>
      <c r="B5629" t="s">
        <v>118</v>
      </c>
      <c r="C5629" s="2">
        <f>HYPERLINK("https://svao.dolgi.msk.ru/account/1768042632/", 1768042632)</f>
        <v>1768042632</v>
      </c>
      <c r="D5629">
        <v>2849.9</v>
      </c>
    </row>
    <row r="5630" spans="1:4" x14ac:dyDescent="0.25">
      <c r="A5630" t="s">
        <v>590</v>
      </c>
      <c r="B5630" t="s">
        <v>127</v>
      </c>
      <c r="C5630" s="2">
        <f>HYPERLINK("https://svao.dolgi.msk.ru/account/1768042659/", 1768042659)</f>
        <v>1768042659</v>
      </c>
      <c r="D5630">
        <v>5547.2</v>
      </c>
    </row>
    <row r="5631" spans="1:4" x14ac:dyDescent="0.25">
      <c r="A5631" t="s">
        <v>590</v>
      </c>
      <c r="B5631" t="s">
        <v>128</v>
      </c>
      <c r="C5631" s="2">
        <f>HYPERLINK("https://svao.dolgi.msk.ru/account/1768042691/", 1768042691)</f>
        <v>1768042691</v>
      </c>
      <c r="D5631">
        <v>452.3</v>
      </c>
    </row>
    <row r="5632" spans="1:4" x14ac:dyDescent="0.25">
      <c r="A5632" t="s">
        <v>590</v>
      </c>
      <c r="B5632" t="s">
        <v>26</v>
      </c>
      <c r="C5632" s="2">
        <f>HYPERLINK("https://svao.dolgi.msk.ru/account/1768042739/", 1768042739)</f>
        <v>1768042739</v>
      </c>
      <c r="D5632">
        <v>103.9</v>
      </c>
    </row>
    <row r="5633" spans="1:4" x14ac:dyDescent="0.25">
      <c r="A5633" t="s">
        <v>590</v>
      </c>
      <c r="B5633" t="s">
        <v>96</v>
      </c>
      <c r="C5633" s="2">
        <f>HYPERLINK("https://svao.dolgi.msk.ru/account/1768042747/", 1768042747)</f>
        <v>1768042747</v>
      </c>
      <c r="D5633">
        <v>397.4</v>
      </c>
    </row>
    <row r="5634" spans="1:4" x14ac:dyDescent="0.25">
      <c r="A5634" t="s">
        <v>590</v>
      </c>
      <c r="B5634" t="s">
        <v>243</v>
      </c>
      <c r="C5634" s="2">
        <f>HYPERLINK("https://svao.dolgi.msk.ru/account/1768042771/", 1768042771)</f>
        <v>1768042771</v>
      </c>
      <c r="D5634">
        <v>262.32</v>
      </c>
    </row>
    <row r="5635" spans="1:4" x14ac:dyDescent="0.25">
      <c r="A5635" t="s">
        <v>590</v>
      </c>
      <c r="B5635" t="s">
        <v>121</v>
      </c>
      <c r="C5635" s="2">
        <f>HYPERLINK("https://svao.dolgi.msk.ru/account/1768042798/", 1768042798)</f>
        <v>1768042798</v>
      </c>
      <c r="D5635">
        <v>132.80000000000001</v>
      </c>
    </row>
    <row r="5636" spans="1:4" x14ac:dyDescent="0.25">
      <c r="A5636" t="s">
        <v>591</v>
      </c>
      <c r="B5636" t="s">
        <v>6</v>
      </c>
      <c r="C5636" s="2">
        <f>HYPERLINK("https://svao.dolgi.msk.ru/account/1768037876/", 1768037876)</f>
        <v>1768037876</v>
      </c>
      <c r="D5636">
        <v>3092.1</v>
      </c>
    </row>
    <row r="5637" spans="1:4" x14ac:dyDescent="0.25">
      <c r="A5637" t="s">
        <v>591</v>
      </c>
      <c r="B5637" t="s">
        <v>7</v>
      </c>
      <c r="C5637" s="2">
        <f>HYPERLINK("https://svao.dolgi.msk.ru/account/1768037905/", 1768037905)</f>
        <v>1768037905</v>
      </c>
      <c r="D5637">
        <v>5850.04</v>
      </c>
    </row>
    <row r="5638" spans="1:4" x14ac:dyDescent="0.25">
      <c r="A5638" t="s">
        <v>591</v>
      </c>
      <c r="B5638" t="s">
        <v>103</v>
      </c>
      <c r="C5638" s="2">
        <f>HYPERLINK("https://svao.dolgi.msk.ru/account/1768037948/", 1768037948)</f>
        <v>1768037948</v>
      </c>
      <c r="D5638">
        <v>4794.42</v>
      </c>
    </row>
    <row r="5639" spans="1:4" x14ac:dyDescent="0.25">
      <c r="A5639" t="s">
        <v>591</v>
      </c>
      <c r="B5639" t="s">
        <v>15</v>
      </c>
      <c r="C5639" s="2">
        <f>HYPERLINK("https://svao.dolgi.msk.ru/account/1768038107/", 1768038107)</f>
        <v>1768038107</v>
      </c>
      <c r="D5639">
        <v>49357.35</v>
      </c>
    </row>
    <row r="5640" spans="1:4" x14ac:dyDescent="0.25">
      <c r="A5640" t="s">
        <v>591</v>
      </c>
      <c r="B5640" t="s">
        <v>17</v>
      </c>
      <c r="C5640" s="2">
        <f>HYPERLINK("https://svao.dolgi.msk.ru/account/1768038131/", 1768038131)</f>
        <v>1768038131</v>
      </c>
      <c r="D5640">
        <v>3429.54</v>
      </c>
    </row>
    <row r="5641" spans="1:4" x14ac:dyDescent="0.25">
      <c r="A5641" t="s">
        <v>591</v>
      </c>
      <c r="B5641" t="s">
        <v>92</v>
      </c>
      <c r="C5641" s="2">
        <f>HYPERLINK("https://svao.dolgi.msk.ru/account/1768002171/", 1768002171)</f>
        <v>1768002171</v>
      </c>
      <c r="D5641">
        <v>6963.84</v>
      </c>
    </row>
    <row r="5642" spans="1:4" x14ac:dyDescent="0.25">
      <c r="A5642" t="s">
        <v>591</v>
      </c>
      <c r="B5642" t="s">
        <v>113</v>
      </c>
      <c r="C5642" s="2">
        <f>HYPERLINK("https://svao.dolgi.msk.ru/account/1768038262/", 1768038262)</f>
        <v>1768038262</v>
      </c>
      <c r="D5642">
        <v>664.33</v>
      </c>
    </row>
    <row r="5643" spans="1:4" x14ac:dyDescent="0.25">
      <c r="A5643" t="s">
        <v>591</v>
      </c>
      <c r="B5643" t="s">
        <v>79</v>
      </c>
      <c r="C5643" s="2">
        <f>HYPERLINK("https://svao.dolgi.msk.ru/account/1768002294/", 1768002294)</f>
        <v>1768002294</v>
      </c>
      <c r="D5643">
        <v>19101.189999999999</v>
      </c>
    </row>
    <row r="5644" spans="1:4" x14ac:dyDescent="0.25">
      <c r="A5644" t="s">
        <v>591</v>
      </c>
      <c r="B5644" t="s">
        <v>23</v>
      </c>
      <c r="C5644" s="2">
        <f>HYPERLINK("https://svao.dolgi.msk.ru/account/1768038318/", 1768038318)</f>
        <v>1768038318</v>
      </c>
      <c r="D5644">
        <v>3599.19</v>
      </c>
    </row>
    <row r="5645" spans="1:4" x14ac:dyDescent="0.25">
      <c r="A5645" t="s">
        <v>591</v>
      </c>
      <c r="B5645" t="s">
        <v>242</v>
      </c>
      <c r="C5645" s="2">
        <f>HYPERLINK("https://svao.dolgi.msk.ru/account/1768038377/", 1768038377)</f>
        <v>1768038377</v>
      </c>
      <c r="D5645">
        <v>5479.86</v>
      </c>
    </row>
    <row r="5646" spans="1:4" x14ac:dyDescent="0.25">
      <c r="A5646" t="s">
        <v>591</v>
      </c>
      <c r="B5646" t="s">
        <v>131</v>
      </c>
      <c r="C5646" s="2">
        <f>HYPERLINK("https://svao.dolgi.msk.ru/account/1768038393/", 1768038393)</f>
        <v>1768038393</v>
      </c>
      <c r="D5646">
        <v>2828.14</v>
      </c>
    </row>
    <row r="5647" spans="1:4" x14ac:dyDescent="0.25">
      <c r="A5647" t="s">
        <v>591</v>
      </c>
      <c r="B5647" t="s">
        <v>125</v>
      </c>
      <c r="C5647" s="2">
        <f>HYPERLINK("https://svao.dolgi.msk.ru/account/1768038406/", 1768038406)</f>
        <v>1768038406</v>
      </c>
      <c r="D5647">
        <v>3285.34</v>
      </c>
    </row>
    <row r="5648" spans="1:4" x14ac:dyDescent="0.25">
      <c r="A5648" t="s">
        <v>591</v>
      </c>
      <c r="B5648" t="s">
        <v>126</v>
      </c>
      <c r="C5648" s="2">
        <f>HYPERLINK("https://svao.dolgi.msk.ru/account/1768038414/", 1768038414)</f>
        <v>1768038414</v>
      </c>
      <c r="D5648">
        <v>3772.78</v>
      </c>
    </row>
    <row r="5649" spans="1:4" x14ac:dyDescent="0.25">
      <c r="A5649" t="s">
        <v>591</v>
      </c>
      <c r="B5649" t="s">
        <v>120</v>
      </c>
      <c r="C5649" s="2">
        <f>HYPERLINK("https://svao.dolgi.msk.ru/account/1760158366/", 1760158366)</f>
        <v>1760158366</v>
      </c>
      <c r="D5649">
        <v>3171.85</v>
      </c>
    </row>
    <row r="5650" spans="1:4" x14ac:dyDescent="0.25">
      <c r="A5650" t="s">
        <v>591</v>
      </c>
      <c r="B5650" t="s">
        <v>132</v>
      </c>
      <c r="C5650" s="2">
        <f>HYPERLINK("https://svao.dolgi.msk.ru/account/1768038537/", 1768038537)</f>
        <v>1768038537</v>
      </c>
      <c r="D5650">
        <v>2014.44</v>
      </c>
    </row>
    <row r="5651" spans="1:4" x14ac:dyDescent="0.25">
      <c r="A5651" t="s">
        <v>591</v>
      </c>
      <c r="B5651" t="s">
        <v>26</v>
      </c>
      <c r="C5651" s="2">
        <f>HYPERLINK("https://svao.dolgi.msk.ru/account/1768038545/", 1768038545)</f>
        <v>1768038545</v>
      </c>
      <c r="D5651">
        <v>12477.78</v>
      </c>
    </row>
    <row r="5652" spans="1:4" x14ac:dyDescent="0.25">
      <c r="A5652" t="s">
        <v>591</v>
      </c>
      <c r="B5652" t="s">
        <v>243</v>
      </c>
      <c r="C5652" s="2">
        <f>HYPERLINK("https://svao.dolgi.msk.ru/account/1768002235/", 1768002235)</f>
        <v>1768002235</v>
      </c>
      <c r="D5652">
        <v>2951.45</v>
      </c>
    </row>
    <row r="5653" spans="1:4" x14ac:dyDescent="0.25">
      <c r="A5653" t="s">
        <v>591</v>
      </c>
      <c r="B5653" t="s">
        <v>244</v>
      </c>
      <c r="C5653" s="2">
        <f>HYPERLINK("https://svao.dolgi.msk.ru/account/1768038633/", 1768038633)</f>
        <v>1768038633</v>
      </c>
      <c r="D5653">
        <v>2060.19</v>
      </c>
    </row>
    <row r="5654" spans="1:4" x14ac:dyDescent="0.25">
      <c r="A5654" t="s">
        <v>591</v>
      </c>
      <c r="B5654" t="s">
        <v>129</v>
      </c>
      <c r="C5654" s="2">
        <f>HYPERLINK("https://svao.dolgi.msk.ru/account/1768002227/", 1768002227)</f>
        <v>1768002227</v>
      </c>
      <c r="D5654">
        <v>2934.19</v>
      </c>
    </row>
    <row r="5655" spans="1:4" x14ac:dyDescent="0.25">
      <c r="A5655" t="s">
        <v>591</v>
      </c>
      <c r="B5655" t="s">
        <v>84</v>
      </c>
      <c r="C5655" s="2">
        <f>HYPERLINK("https://svao.dolgi.msk.ru/account/1768038676/", 1768038676)</f>
        <v>1768038676</v>
      </c>
      <c r="D5655">
        <v>5104.42</v>
      </c>
    </row>
    <row r="5656" spans="1:4" x14ac:dyDescent="0.25">
      <c r="A5656" t="s">
        <v>591</v>
      </c>
      <c r="B5656" t="s">
        <v>32</v>
      </c>
      <c r="C5656" s="2">
        <f>HYPERLINK("https://svao.dolgi.msk.ru/account/1768038713/", 1768038713)</f>
        <v>1768038713</v>
      </c>
      <c r="D5656">
        <v>5162.75</v>
      </c>
    </row>
    <row r="5657" spans="1:4" x14ac:dyDescent="0.25">
      <c r="A5657" t="s">
        <v>591</v>
      </c>
      <c r="B5657" t="s">
        <v>35</v>
      </c>
      <c r="C5657" s="2">
        <f>HYPERLINK("https://svao.dolgi.msk.ru/account/1768002198/", 1768002198)</f>
        <v>1768002198</v>
      </c>
      <c r="D5657">
        <v>3910.57</v>
      </c>
    </row>
    <row r="5658" spans="1:4" x14ac:dyDescent="0.25">
      <c r="A5658" t="s">
        <v>591</v>
      </c>
      <c r="B5658" t="s">
        <v>99</v>
      </c>
      <c r="C5658" s="2">
        <f>HYPERLINK("https://svao.dolgi.msk.ru/account/1768038756/", 1768038756)</f>
        <v>1768038756</v>
      </c>
      <c r="D5658">
        <v>3192.25</v>
      </c>
    </row>
    <row r="5659" spans="1:4" x14ac:dyDescent="0.25">
      <c r="A5659" t="s">
        <v>592</v>
      </c>
      <c r="B5659" t="s">
        <v>41</v>
      </c>
      <c r="C5659" s="2">
        <f>HYPERLINK("https://svao.dolgi.msk.ru/account/1768046473/", 1768046473)</f>
        <v>1768046473</v>
      </c>
      <c r="D5659">
        <v>332.92</v>
      </c>
    </row>
    <row r="5660" spans="1:4" x14ac:dyDescent="0.25">
      <c r="A5660" t="s">
        <v>592</v>
      </c>
      <c r="B5660" t="s">
        <v>5</v>
      </c>
      <c r="C5660" s="2">
        <f>HYPERLINK("https://svao.dolgi.msk.ru/account/1768046481/", 1768046481)</f>
        <v>1768046481</v>
      </c>
      <c r="D5660">
        <v>286.42</v>
      </c>
    </row>
    <row r="5661" spans="1:4" x14ac:dyDescent="0.25">
      <c r="A5661" t="s">
        <v>592</v>
      </c>
      <c r="B5661" t="s">
        <v>7</v>
      </c>
      <c r="C5661" s="2">
        <f>HYPERLINK("https://svao.dolgi.msk.ru/account/1768046502/", 1768046502)</f>
        <v>1768046502</v>
      </c>
      <c r="D5661">
        <v>1583.8</v>
      </c>
    </row>
    <row r="5662" spans="1:4" x14ac:dyDescent="0.25">
      <c r="A5662" t="s">
        <v>592</v>
      </c>
      <c r="B5662" t="s">
        <v>10</v>
      </c>
      <c r="C5662" s="2">
        <f>HYPERLINK("https://svao.dolgi.msk.ru/account/1768046617/", 1768046617)</f>
        <v>1768046617</v>
      </c>
      <c r="D5662">
        <v>391.28</v>
      </c>
    </row>
    <row r="5663" spans="1:4" x14ac:dyDescent="0.25">
      <c r="A5663" t="s">
        <v>592</v>
      </c>
      <c r="B5663" t="s">
        <v>11</v>
      </c>
      <c r="C5663" s="2">
        <f>HYPERLINK("https://svao.dolgi.msk.ru/account/1768046633/", 1768046633)</f>
        <v>1768046633</v>
      </c>
      <c r="D5663">
        <v>162.69</v>
      </c>
    </row>
    <row r="5664" spans="1:4" x14ac:dyDescent="0.25">
      <c r="A5664" t="s">
        <v>592</v>
      </c>
      <c r="B5664" t="s">
        <v>12</v>
      </c>
      <c r="C5664" s="2">
        <f>HYPERLINK("https://svao.dolgi.msk.ru/account/1768046641/", 1768046641)</f>
        <v>1768046641</v>
      </c>
      <c r="D5664">
        <v>162.63</v>
      </c>
    </row>
    <row r="5665" spans="1:4" x14ac:dyDescent="0.25">
      <c r="A5665" t="s">
        <v>592</v>
      </c>
      <c r="B5665" t="s">
        <v>107</v>
      </c>
      <c r="C5665" s="2">
        <f>HYPERLINK("https://svao.dolgi.msk.ru/account/1768046692/", 1768046692)</f>
        <v>1768046692</v>
      </c>
      <c r="D5665">
        <v>662.18</v>
      </c>
    </row>
    <row r="5666" spans="1:4" x14ac:dyDescent="0.25">
      <c r="A5666" t="s">
        <v>592</v>
      </c>
      <c r="B5666" t="s">
        <v>110</v>
      </c>
      <c r="C5666" s="2">
        <f>HYPERLINK("https://svao.dolgi.msk.ru/account/1768046772/", 1768046772)</f>
        <v>1768046772</v>
      </c>
      <c r="D5666">
        <v>436.25</v>
      </c>
    </row>
    <row r="5667" spans="1:4" x14ac:dyDescent="0.25">
      <c r="A5667" t="s">
        <v>592</v>
      </c>
      <c r="B5667" t="s">
        <v>20</v>
      </c>
      <c r="C5667" s="2">
        <f>HYPERLINK("https://svao.dolgi.msk.ru/account/1768006201/", 1768006201)</f>
        <v>1768006201</v>
      </c>
      <c r="D5667">
        <v>3944.06</v>
      </c>
    </row>
    <row r="5668" spans="1:4" x14ac:dyDescent="0.25">
      <c r="A5668" t="s">
        <v>592</v>
      </c>
      <c r="B5668" t="s">
        <v>112</v>
      </c>
      <c r="C5668" s="2">
        <f>HYPERLINK("https://svao.dolgi.msk.ru/account/1768046828/", 1768046828)</f>
        <v>1768046828</v>
      </c>
      <c r="D5668">
        <v>102.26</v>
      </c>
    </row>
    <row r="5669" spans="1:4" x14ac:dyDescent="0.25">
      <c r="A5669" t="s">
        <v>592</v>
      </c>
      <c r="B5669" t="s">
        <v>113</v>
      </c>
      <c r="C5669" s="2">
        <f>HYPERLINK("https://svao.dolgi.msk.ru/account/1768046836/", 1768046836)</f>
        <v>1768046836</v>
      </c>
      <c r="D5669">
        <v>335.31</v>
      </c>
    </row>
    <row r="5670" spans="1:4" x14ac:dyDescent="0.25">
      <c r="A5670" t="s">
        <v>592</v>
      </c>
      <c r="B5670" t="s">
        <v>79</v>
      </c>
      <c r="C5670" s="2">
        <f>HYPERLINK("https://svao.dolgi.msk.ru/account/1768046887/", 1768046887)</f>
        <v>1768046887</v>
      </c>
      <c r="D5670">
        <v>753.14</v>
      </c>
    </row>
    <row r="5671" spans="1:4" x14ac:dyDescent="0.25">
      <c r="A5671" t="s">
        <v>592</v>
      </c>
      <c r="B5671" t="s">
        <v>115</v>
      </c>
      <c r="C5671" s="2">
        <f>HYPERLINK("https://svao.dolgi.msk.ru/account/1768046924/", 1768046924)</f>
        <v>1768046924</v>
      </c>
      <c r="D5671">
        <v>1019.54</v>
      </c>
    </row>
    <row r="5672" spans="1:4" x14ac:dyDescent="0.25">
      <c r="A5672" t="s">
        <v>592</v>
      </c>
      <c r="B5672" t="s">
        <v>24</v>
      </c>
      <c r="C5672" s="2">
        <f>HYPERLINK("https://svao.dolgi.msk.ru/account/1768046959/", 1768046959)</f>
        <v>1768046959</v>
      </c>
      <c r="D5672">
        <v>3495.19</v>
      </c>
    </row>
    <row r="5673" spans="1:4" x14ac:dyDescent="0.25">
      <c r="A5673" t="s">
        <v>592</v>
      </c>
      <c r="B5673" t="s">
        <v>242</v>
      </c>
      <c r="C5673" s="2">
        <f>HYPERLINK("https://svao.dolgi.msk.ru/account/1768046975/", 1768046975)</f>
        <v>1768046975</v>
      </c>
      <c r="D5673">
        <v>262.27999999999997</v>
      </c>
    </row>
    <row r="5674" spans="1:4" x14ac:dyDescent="0.25">
      <c r="A5674" t="s">
        <v>592</v>
      </c>
      <c r="B5674" t="s">
        <v>80</v>
      </c>
      <c r="C5674" s="2">
        <f>HYPERLINK("https://svao.dolgi.msk.ru/account/1768047011/", 1768047011)</f>
        <v>1768047011</v>
      </c>
      <c r="D5674">
        <v>132.80000000000001</v>
      </c>
    </row>
    <row r="5675" spans="1:4" x14ac:dyDescent="0.25">
      <c r="A5675" t="s">
        <v>592</v>
      </c>
      <c r="B5675" t="s">
        <v>118</v>
      </c>
      <c r="C5675" s="2">
        <f>HYPERLINK("https://svao.dolgi.msk.ru/account/1768047038/", 1768047038)</f>
        <v>1768047038</v>
      </c>
      <c r="D5675">
        <v>127.82</v>
      </c>
    </row>
    <row r="5676" spans="1:4" x14ac:dyDescent="0.25">
      <c r="A5676" t="s">
        <v>592</v>
      </c>
      <c r="B5676" t="s">
        <v>119</v>
      </c>
      <c r="C5676" s="2">
        <f>HYPERLINK("https://svao.dolgi.msk.ru/account/1768047062/", 1768047062)</f>
        <v>1768047062</v>
      </c>
      <c r="D5676">
        <v>811.14</v>
      </c>
    </row>
    <row r="5677" spans="1:4" x14ac:dyDescent="0.25">
      <c r="A5677" t="s">
        <v>592</v>
      </c>
      <c r="B5677" t="s">
        <v>83</v>
      </c>
      <c r="C5677" s="2">
        <f>HYPERLINK("https://svao.dolgi.msk.ru/account/1768047126/", 1768047126)</f>
        <v>1768047126</v>
      </c>
      <c r="D5677">
        <v>210.47</v>
      </c>
    </row>
    <row r="5678" spans="1:4" x14ac:dyDescent="0.25">
      <c r="A5678" t="s">
        <v>592</v>
      </c>
      <c r="B5678" t="s">
        <v>132</v>
      </c>
      <c r="C5678" s="2">
        <f>HYPERLINK("https://svao.dolgi.msk.ru/account/1768047134/", 1768047134)</f>
        <v>1768047134</v>
      </c>
      <c r="D5678">
        <v>1099.43</v>
      </c>
    </row>
    <row r="5679" spans="1:4" x14ac:dyDescent="0.25">
      <c r="A5679" t="s">
        <v>592</v>
      </c>
      <c r="B5679" t="s">
        <v>133</v>
      </c>
      <c r="C5679" s="2">
        <f>HYPERLINK("https://svao.dolgi.msk.ru/account/1768047169/", 1768047169)</f>
        <v>1768047169</v>
      </c>
      <c r="D5679">
        <v>222.86</v>
      </c>
    </row>
    <row r="5680" spans="1:4" x14ac:dyDescent="0.25">
      <c r="A5680" t="s">
        <v>592</v>
      </c>
      <c r="B5680" t="s">
        <v>290</v>
      </c>
      <c r="C5680" s="2">
        <f>HYPERLINK("https://svao.dolgi.msk.ru/account/1768047185/", 1768047185)</f>
        <v>1768047185</v>
      </c>
      <c r="D5680">
        <v>341.3</v>
      </c>
    </row>
    <row r="5681" spans="1:4" x14ac:dyDescent="0.25">
      <c r="A5681" t="s">
        <v>592</v>
      </c>
      <c r="B5681" t="s">
        <v>121</v>
      </c>
      <c r="C5681" s="2">
        <f>HYPERLINK("https://svao.dolgi.msk.ru/account/1768047206/", 1768047206)</f>
        <v>1768047206</v>
      </c>
      <c r="D5681">
        <v>5552.96</v>
      </c>
    </row>
    <row r="5682" spans="1:4" x14ac:dyDescent="0.25">
      <c r="A5682" t="s">
        <v>592</v>
      </c>
      <c r="B5682" t="s">
        <v>28</v>
      </c>
      <c r="C5682" s="2">
        <f>HYPERLINK("https://svao.dolgi.msk.ru/account/1768047214/", 1768047214)</f>
        <v>1768047214</v>
      </c>
      <c r="D5682">
        <v>239.45</v>
      </c>
    </row>
    <row r="5683" spans="1:4" x14ac:dyDescent="0.25">
      <c r="A5683" t="s">
        <v>592</v>
      </c>
      <c r="B5683" t="s">
        <v>129</v>
      </c>
      <c r="C5683" s="2">
        <f>HYPERLINK("https://svao.dolgi.msk.ru/account/1768047249/", 1768047249)</f>
        <v>1768047249</v>
      </c>
      <c r="D5683">
        <v>100.26</v>
      </c>
    </row>
    <row r="5684" spans="1:4" x14ac:dyDescent="0.25">
      <c r="A5684" t="s">
        <v>592</v>
      </c>
      <c r="B5684" t="s">
        <v>84</v>
      </c>
      <c r="C5684" s="2">
        <f>HYPERLINK("https://svao.dolgi.msk.ru/account/1768047265/", 1768047265)</f>
        <v>1768047265</v>
      </c>
      <c r="D5684">
        <v>159.36000000000001</v>
      </c>
    </row>
    <row r="5685" spans="1:4" x14ac:dyDescent="0.25">
      <c r="A5685" t="s">
        <v>592</v>
      </c>
      <c r="B5685" t="s">
        <v>98</v>
      </c>
      <c r="C5685" s="2">
        <f>HYPERLINK("https://svao.dolgi.msk.ru/account/1768047281/", 1768047281)</f>
        <v>1768047281</v>
      </c>
      <c r="D5685">
        <v>186.81</v>
      </c>
    </row>
    <row r="5686" spans="1:4" x14ac:dyDescent="0.25">
      <c r="A5686" t="s">
        <v>592</v>
      </c>
      <c r="B5686" t="s">
        <v>245</v>
      </c>
      <c r="C5686" s="2">
        <f>HYPERLINK("https://svao.dolgi.msk.ru/account/1768047329/", 1768047329)</f>
        <v>1768047329</v>
      </c>
      <c r="D5686">
        <v>439.24</v>
      </c>
    </row>
    <row r="5687" spans="1:4" x14ac:dyDescent="0.25">
      <c r="A5687" t="s">
        <v>592</v>
      </c>
      <c r="B5687" t="s">
        <v>135</v>
      </c>
      <c r="C5687" s="2">
        <f>HYPERLINK("https://svao.dolgi.msk.ru/account/1768006172/", 1768006172)</f>
        <v>1768006172</v>
      </c>
      <c r="D5687">
        <v>163.24</v>
      </c>
    </row>
    <row r="5688" spans="1:4" x14ac:dyDescent="0.25">
      <c r="A5688" t="s">
        <v>593</v>
      </c>
      <c r="B5688" t="s">
        <v>5</v>
      </c>
      <c r="C5688" s="2">
        <f>HYPERLINK("https://svao.dolgi.msk.ru/account/1768047409/", 1768047409)</f>
        <v>1768047409</v>
      </c>
      <c r="D5688">
        <v>1562.54</v>
      </c>
    </row>
    <row r="5689" spans="1:4" x14ac:dyDescent="0.25">
      <c r="A5689" t="s">
        <v>593</v>
      </c>
      <c r="B5689" t="s">
        <v>219</v>
      </c>
      <c r="C5689" s="2">
        <f>HYPERLINK("https://svao.dolgi.msk.ru/account/1768047505/", 1768047505)</f>
        <v>1768047505</v>
      </c>
      <c r="D5689">
        <v>196.07</v>
      </c>
    </row>
    <row r="5690" spans="1:4" x14ac:dyDescent="0.25">
      <c r="A5690" t="s">
        <v>593</v>
      </c>
      <c r="B5690" t="s">
        <v>11</v>
      </c>
      <c r="C5690" s="2">
        <f>HYPERLINK("https://svao.dolgi.msk.ru/account/1768006922/", 1768006922)</f>
        <v>1768006922</v>
      </c>
      <c r="D5690">
        <v>249.54</v>
      </c>
    </row>
    <row r="5691" spans="1:4" x14ac:dyDescent="0.25">
      <c r="A5691" t="s">
        <v>593</v>
      </c>
      <c r="B5691" t="s">
        <v>13</v>
      </c>
      <c r="C5691" s="2">
        <f>HYPERLINK("https://svao.dolgi.msk.ru/account/1768047521/", 1768047521)</f>
        <v>1768047521</v>
      </c>
      <c r="D5691">
        <v>785.42</v>
      </c>
    </row>
    <row r="5692" spans="1:4" x14ac:dyDescent="0.25">
      <c r="A5692" t="s">
        <v>593</v>
      </c>
      <c r="B5692" t="s">
        <v>108</v>
      </c>
      <c r="C5692" s="2">
        <f>HYPERLINK("https://svao.dolgi.msk.ru/account/1768047564/", 1768047564)</f>
        <v>1768047564</v>
      </c>
      <c r="D5692">
        <v>390.03</v>
      </c>
    </row>
    <row r="5693" spans="1:4" x14ac:dyDescent="0.25">
      <c r="A5693" t="s">
        <v>593</v>
      </c>
      <c r="B5693" t="s">
        <v>17</v>
      </c>
      <c r="C5693" s="2">
        <f>HYPERLINK("https://svao.dolgi.msk.ru/account/1768047599/", 1768047599)</f>
        <v>1768047599</v>
      </c>
      <c r="D5693">
        <v>225.92</v>
      </c>
    </row>
    <row r="5694" spans="1:4" x14ac:dyDescent="0.25">
      <c r="A5694" t="s">
        <v>593</v>
      </c>
      <c r="B5694" t="s">
        <v>109</v>
      </c>
      <c r="C5694" s="2">
        <f>HYPERLINK("https://svao.dolgi.msk.ru/account/1768047636/", 1768047636)</f>
        <v>1768047636</v>
      </c>
      <c r="D5694">
        <v>597.64</v>
      </c>
    </row>
    <row r="5695" spans="1:4" x14ac:dyDescent="0.25">
      <c r="A5695" t="s">
        <v>593</v>
      </c>
      <c r="B5695" t="s">
        <v>110</v>
      </c>
      <c r="C5695" s="2">
        <f>HYPERLINK("https://svao.dolgi.msk.ru/account/1768047644/", 1768047644)</f>
        <v>1768047644</v>
      </c>
      <c r="D5695">
        <v>101.73</v>
      </c>
    </row>
    <row r="5696" spans="1:4" x14ac:dyDescent="0.25">
      <c r="A5696" t="s">
        <v>593</v>
      </c>
      <c r="B5696" t="s">
        <v>93</v>
      </c>
      <c r="C5696" s="2">
        <f>HYPERLINK("https://svao.dolgi.msk.ru/account/1768047687/", 1768047687)</f>
        <v>1768047687</v>
      </c>
      <c r="D5696">
        <v>163.93</v>
      </c>
    </row>
    <row r="5697" spans="1:4" x14ac:dyDescent="0.25">
      <c r="A5697" t="s">
        <v>593</v>
      </c>
      <c r="B5697" t="s">
        <v>94</v>
      </c>
      <c r="C5697" s="2">
        <f>HYPERLINK("https://svao.dolgi.msk.ru/account/1768047708/", 1768047708)</f>
        <v>1768047708</v>
      </c>
      <c r="D5697">
        <v>156.04</v>
      </c>
    </row>
    <row r="5698" spans="1:4" x14ac:dyDescent="0.25">
      <c r="A5698" t="s">
        <v>593</v>
      </c>
      <c r="B5698" t="s">
        <v>124</v>
      </c>
      <c r="C5698" s="2">
        <f>HYPERLINK("https://svao.dolgi.msk.ru/account/1768047783/", 1768047783)</f>
        <v>1768047783</v>
      </c>
      <c r="D5698">
        <v>144.71</v>
      </c>
    </row>
    <row r="5699" spans="1:4" x14ac:dyDescent="0.25">
      <c r="A5699" t="s">
        <v>593</v>
      </c>
      <c r="B5699" t="s">
        <v>320</v>
      </c>
      <c r="C5699" s="2">
        <f>HYPERLINK("https://svao.dolgi.msk.ru/account/1768047812/", 1768047812)</f>
        <v>1768047812</v>
      </c>
      <c r="D5699">
        <v>117.03</v>
      </c>
    </row>
    <row r="5700" spans="1:4" x14ac:dyDescent="0.25">
      <c r="A5700" t="s">
        <v>593</v>
      </c>
      <c r="B5700" t="s">
        <v>95</v>
      </c>
      <c r="C5700" s="2">
        <f>HYPERLINK("https://svao.dolgi.msk.ru/account/1768047855/", 1768047855)</f>
        <v>1768047855</v>
      </c>
      <c r="D5700">
        <v>262</v>
      </c>
    </row>
    <row r="5701" spans="1:4" x14ac:dyDescent="0.25">
      <c r="A5701" t="s">
        <v>593</v>
      </c>
      <c r="B5701" t="s">
        <v>127</v>
      </c>
      <c r="C5701" s="2">
        <f>HYPERLINK("https://svao.dolgi.msk.ru/account/1768047898/", 1768047898)</f>
        <v>1768047898</v>
      </c>
      <c r="D5701">
        <v>166.52</v>
      </c>
    </row>
    <row r="5702" spans="1:4" x14ac:dyDescent="0.25">
      <c r="A5702" t="s">
        <v>593</v>
      </c>
      <c r="B5702" t="s">
        <v>81</v>
      </c>
      <c r="C5702" s="2">
        <f>HYPERLINK("https://svao.dolgi.msk.ru/account/1768047919/", 1768047919)</f>
        <v>1768047919</v>
      </c>
      <c r="D5702">
        <v>3125.08</v>
      </c>
    </row>
    <row r="5703" spans="1:4" x14ac:dyDescent="0.25">
      <c r="A5703" t="s">
        <v>593</v>
      </c>
      <c r="B5703" t="s">
        <v>27</v>
      </c>
      <c r="C5703" s="2">
        <f>HYPERLINK("https://svao.dolgi.msk.ru/account/1768048022/", 1768048022)</f>
        <v>1768048022</v>
      </c>
      <c r="D5703">
        <v>129.22999999999999</v>
      </c>
    </row>
    <row r="5704" spans="1:4" x14ac:dyDescent="0.25">
      <c r="A5704" t="s">
        <v>593</v>
      </c>
      <c r="B5704" t="s">
        <v>290</v>
      </c>
      <c r="C5704" s="2">
        <f>HYPERLINK("https://svao.dolgi.msk.ru/account/1768048049/", 1768048049)</f>
        <v>1768048049</v>
      </c>
      <c r="D5704">
        <v>330.08</v>
      </c>
    </row>
    <row r="5705" spans="1:4" x14ac:dyDescent="0.25">
      <c r="A5705" t="s">
        <v>593</v>
      </c>
      <c r="B5705" t="s">
        <v>243</v>
      </c>
      <c r="C5705" s="2">
        <f>HYPERLINK("https://svao.dolgi.msk.ru/account/1768048057/", 1768048057)</f>
        <v>1768048057</v>
      </c>
      <c r="D5705">
        <v>106.11</v>
      </c>
    </row>
    <row r="5706" spans="1:4" x14ac:dyDescent="0.25">
      <c r="A5706" t="s">
        <v>593</v>
      </c>
      <c r="B5706" t="s">
        <v>30</v>
      </c>
      <c r="C5706" s="2">
        <f>HYPERLINK("https://svao.dolgi.msk.ru/account/1768048145/", 1768048145)</f>
        <v>1768048145</v>
      </c>
      <c r="D5706">
        <v>460.75</v>
      </c>
    </row>
    <row r="5707" spans="1:4" x14ac:dyDescent="0.25">
      <c r="A5707" t="s">
        <v>593</v>
      </c>
      <c r="B5707" t="s">
        <v>84</v>
      </c>
      <c r="C5707" s="2">
        <f>HYPERLINK("https://svao.dolgi.msk.ru/account/1768048153/", 1768048153)</f>
        <v>1768048153</v>
      </c>
      <c r="D5707">
        <v>314.87</v>
      </c>
    </row>
    <row r="5708" spans="1:4" x14ac:dyDescent="0.25">
      <c r="A5708" t="s">
        <v>593</v>
      </c>
      <c r="B5708" t="s">
        <v>31</v>
      </c>
      <c r="C5708" s="2">
        <f>HYPERLINK("https://svao.dolgi.msk.ru/account/1768048161/", 1768048161)</f>
        <v>1768048161</v>
      </c>
      <c r="D5708">
        <v>169.54</v>
      </c>
    </row>
    <row r="5709" spans="1:4" x14ac:dyDescent="0.25">
      <c r="A5709" t="s">
        <v>593</v>
      </c>
      <c r="B5709" t="s">
        <v>98</v>
      </c>
      <c r="C5709" s="2">
        <f>HYPERLINK("https://svao.dolgi.msk.ru/account/1768048188/", 1768048188)</f>
        <v>1768048188</v>
      </c>
      <c r="D5709">
        <v>358.38</v>
      </c>
    </row>
    <row r="5710" spans="1:4" x14ac:dyDescent="0.25">
      <c r="A5710" t="s">
        <v>593</v>
      </c>
      <c r="B5710" t="s">
        <v>85</v>
      </c>
      <c r="C5710" s="2">
        <f>HYPERLINK("https://svao.dolgi.msk.ru/account/1768048225/", 1768048225)</f>
        <v>1768048225</v>
      </c>
      <c r="D5710">
        <v>629.95000000000005</v>
      </c>
    </row>
    <row r="5711" spans="1:4" x14ac:dyDescent="0.25">
      <c r="A5711" t="s">
        <v>594</v>
      </c>
      <c r="B5711" t="s">
        <v>41</v>
      </c>
      <c r="C5711" s="2">
        <f>HYPERLINK("https://svao.dolgi.msk.ru/account/1760158374/", 1760158374)</f>
        <v>1760158374</v>
      </c>
      <c r="D5711">
        <v>6325.35</v>
      </c>
    </row>
    <row r="5712" spans="1:4" x14ac:dyDescent="0.25">
      <c r="A5712" t="s">
        <v>594</v>
      </c>
      <c r="B5712" t="s">
        <v>5</v>
      </c>
      <c r="C5712" s="2">
        <f>HYPERLINK("https://svao.dolgi.msk.ru/account/1760158382/", 1760158382)</f>
        <v>1760158382</v>
      </c>
      <c r="D5712">
        <v>10836.86</v>
      </c>
    </row>
    <row r="5713" spans="1:4" x14ac:dyDescent="0.25">
      <c r="A5713" t="s">
        <v>594</v>
      </c>
      <c r="B5713" t="s">
        <v>101</v>
      </c>
      <c r="C5713" s="2">
        <f>HYPERLINK("https://svao.dolgi.msk.ru/account/1760158411/", 1760158411)</f>
        <v>1760158411</v>
      </c>
      <c r="D5713">
        <v>149</v>
      </c>
    </row>
    <row r="5714" spans="1:4" x14ac:dyDescent="0.25">
      <c r="A5714" t="s">
        <v>594</v>
      </c>
      <c r="B5714" t="s">
        <v>103</v>
      </c>
      <c r="C5714" s="2">
        <f>HYPERLINK("https://svao.dolgi.msk.ru/account/1760158454/", 1760158454)</f>
        <v>1760158454</v>
      </c>
      <c r="D5714">
        <v>273.68</v>
      </c>
    </row>
    <row r="5715" spans="1:4" x14ac:dyDescent="0.25">
      <c r="A5715" t="s">
        <v>594</v>
      </c>
      <c r="B5715" t="s">
        <v>91</v>
      </c>
      <c r="C5715" s="2">
        <f>HYPERLINK("https://svao.dolgi.msk.ru/account/1760158569/", 1760158569)</f>
        <v>1760158569</v>
      </c>
      <c r="D5715">
        <v>320</v>
      </c>
    </row>
    <row r="5716" spans="1:4" x14ac:dyDescent="0.25">
      <c r="A5716" t="s">
        <v>594</v>
      </c>
      <c r="B5716" t="s">
        <v>10</v>
      </c>
      <c r="C5716" s="2">
        <f>HYPERLINK("https://svao.dolgi.msk.ru/account/1760158577/", 1760158577)</f>
        <v>1760158577</v>
      </c>
      <c r="D5716">
        <v>320</v>
      </c>
    </row>
    <row r="5717" spans="1:4" x14ac:dyDescent="0.25">
      <c r="A5717" t="s">
        <v>594</v>
      </c>
      <c r="B5717" t="s">
        <v>11</v>
      </c>
      <c r="C5717" s="2">
        <f>HYPERLINK("https://svao.dolgi.msk.ru/account/1760158593/", 1760158593)</f>
        <v>1760158593</v>
      </c>
      <c r="D5717">
        <v>268</v>
      </c>
    </row>
    <row r="5718" spans="1:4" x14ac:dyDescent="0.25">
      <c r="A5718" t="s">
        <v>594</v>
      </c>
      <c r="B5718" t="s">
        <v>12</v>
      </c>
      <c r="C5718" s="2">
        <f>HYPERLINK("https://svao.dolgi.msk.ru/account/1760158606/", 1760158606)</f>
        <v>1760158606</v>
      </c>
      <c r="D5718">
        <v>7193.03</v>
      </c>
    </row>
    <row r="5719" spans="1:4" x14ac:dyDescent="0.25">
      <c r="A5719" t="s">
        <v>594</v>
      </c>
      <c r="B5719" t="s">
        <v>14</v>
      </c>
      <c r="C5719" s="2">
        <f>HYPERLINK("https://svao.dolgi.msk.ru/account/1760158622/", 1760158622)</f>
        <v>1760158622</v>
      </c>
      <c r="D5719">
        <v>138</v>
      </c>
    </row>
    <row r="5720" spans="1:4" x14ac:dyDescent="0.25">
      <c r="A5720" t="s">
        <v>594</v>
      </c>
      <c r="B5720" t="s">
        <v>107</v>
      </c>
      <c r="C5720" s="2">
        <f>HYPERLINK("https://svao.dolgi.msk.ru/account/1760158657/", 1760158657)</f>
        <v>1760158657</v>
      </c>
      <c r="D5720">
        <v>320</v>
      </c>
    </row>
    <row r="5721" spans="1:4" x14ac:dyDescent="0.25">
      <c r="A5721" t="s">
        <v>594</v>
      </c>
      <c r="B5721" t="s">
        <v>108</v>
      </c>
      <c r="C5721" s="2">
        <f>HYPERLINK("https://svao.dolgi.msk.ru/account/1760158673/", 1760158673)</f>
        <v>1760158673</v>
      </c>
      <c r="D5721">
        <v>4817.26</v>
      </c>
    </row>
    <row r="5722" spans="1:4" x14ac:dyDescent="0.25">
      <c r="A5722" t="s">
        <v>594</v>
      </c>
      <c r="B5722" t="s">
        <v>17</v>
      </c>
      <c r="C5722" s="2">
        <f>HYPERLINK("https://svao.dolgi.msk.ru/account/1760158702/", 1760158702)</f>
        <v>1760158702</v>
      </c>
      <c r="D5722">
        <v>4960.6000000000004</v>
      </c>
    </row>
    <row r="5723" spans="1:4" x14ac:dyDescent="0.25">
      <c r="A5723" t="s">
        <v>594</v>
      </c>
      <c r="B5723" t="s">
        <v>18</v>
      </c>
      <c r="C5723" s="2">
        <f>HYPERLINK("https://svao.dolgi.msk.ru/account/1760158729/", 1760158729)</f>
        <v>1760158729</v>
      </c>
      <c r="D5723">
        <v>1942.21</v>
      </c>
    </row>
    <row r="5724" spans="1:4" x14ac:dyDescent="0.25">
      <c r="A5724" t="s">
        <v>594</v>
      </c>
      <c r="B5724" t="s">
        <v>110</v>
      </c>
      <c r="C5724" s="2">
        <f>HYPERLINK("https://svao.dolgi.msk.ru/account/1760158753/", 1760158753)</f>
        <v>1760158753</v>
      </c>
      <c r="D5724">
        <v>2546.85</v>
      </c>
    </row>
    <row r="5725" spans="1:4" x14ac:dyDescent="0.25">
      <c r="A5725" t="s">
        <v>594</v>
      </c>
      <c r="B5725" t="s">
        <v>76</v>
      </c>
      <c r="C5725" s="2">
        <f>HYPERLINK("https://svao.dolgi.msk.ru/account/1760158796/", 1760158796)</f>
        <v>1760158796</v>
      </c>
      <c r="D5725">
        <v>320</v>
      </c>
    </row>
    <row r="5726" spans="1:4" x14ac:dyDescent="0.25">
      <c r="A5726" t="s">
        <v>594</v>
      </c>
      <c r="B5726" t="s">
        <v>93</v>
      </c>
      <c r="C5726" s="2">
        <f>HYPERLINK("https://svao.dolgi.msk.ru/account/1760158817/", 1760158817)</f>
        <v>1760158817</v>
      </c>
      <c r="D5726">
        <v>44612.59</v>
      </c>
    </row>
    <row r="5727" spans="1:4" x14ac:dyDescent="0.25">
      <c r="A5727" t="s">
        <v>594</v>
      </c>
      <c r="B5727" t="s">
        <v>111</v>
      </c>
      <c r="C5727" s="2">
        <f>HYPERLINK("https://svao.dolgi.msk.ru/account/1760158825/", 1760158825)</f>
        <v>1760158825</v>
      </c>
      <c r="D5727">
        <v>6155.26</v>
      </c>
    </row>
    <row r="5728" spans="1:4" x14ac:dyDescent="0.25">
      <c r="A5728" t="s">
        <v>594</v>
      </c>
      <c r="B5728" t="s">
        <v>77</v>
      </c>
      <c r="C5728" s="2">
        <f>HYPERLINK("https://svao.dolgi.msk.ru/account/1760158884/", 1760158884)</f>
        <v>1760158884</v>
      </c>
      <c r="D5728">
        <v>3617.73</v>
      </c>
    </row>
    <row r="5729" spans="1:4" x14ac:dyDescent="0.25">
      <c r="A5729" t="s">
        <v>594</v>
      </c>
      <c r="B5729" t="s">
        <v>114</v>
      </c>
      <c r="C5729" s="2">
        <f>HYPERLINK("https://svao.dolgi.msk.ru/account/1760158892/", 1760158892)</f>
        <v>1760158892</v>
      </c>
      <c r="D5729">
        <v>2384.61</v>
      </c>
    </row>
    <row r="5730" spans="1:4" x14ac:dyDescent="0.25">
      <c r="A5730" t="s">
        <v>594</v>
      </c>
      <c r="B5730" t="s">
        <v>22</v>
      </c>
      <c r="C5730" s="2">
        <f>HYPERLINK("https://svao.dolgi.msk.ru/account/1760158788/", 1760158788)</f>
        <v>1760158788</v>
      </c>
      <c r="D5730">
        <v>5924.36</v>
      </c>
    </row>
    <row r="5731" spans="1:4" x14ac:dyDescent="0.25">
      <c r="A5731" t="s">
        <v>594</v>
      </c>
      <c r="B5731" t="s">
        <v>79</v>
      </c>
      <c r="C5731" s="2">
        <f>HYPERLINK("https://svao.dolgi.msk.ru/account/1760158921/", 1760158921)</f>
        <v>1760158921</v>
      </c>
      <c r="D5731">
        <v>7506.57</v>
      </c>
    </row>
    <row r="5732" spans="1:4" x14ac:dyDescent="0.25">
      <c r="A5732" t="s">
        <v>594</v>
      </c>
      <c r="B5732" t="s">
        <v>117</v>
      </c>
      <c r="C5732" s="2">
        <f>HYPERLINK("https://svao.dolgi.msk.ru/account/1760158964/", 1760158964)</f>
        <v>1760158964</v>
      </c>
      <c r="D5732">
        <v>1085.21</v>
      </c>
    </row>
    <row r="5733" spans="1:4" x14ac:dyDescent="0.25">
      <c r="A5733" t="s">
        <v>594</v>
      </c>
      <c r="B5733" t="s">
        <v>115</v>
      </c>
      <c r="C5733" s="2">
        <f>HYPERLINK("https://svao.dolgi.msk.ru/account/1761810993/", 1761810993)</f>
        <v>1761810993</v>
      </c>
      <c r="D5733">
        <v>2991.11</v>
      </c>
    </row>
    <row r="5734" spans="1:4" x14ac:dyDescent="0.25">
      <c r="A5734" t="s">
        <v>594</v>
      </c>
      <c r="B5734" t="s">
        <v>320</v>
      </c>
      <c r="C5734" s="2">
        <f>HYPERLINK("https://svao.dolgi.msk.ru/account/1760158999/", 1760158999)</f>
        <v>1760158999</v>
      </c>
      <c r="D5734">
        <v>1101.83</v>
      </c>
    </row>
    <row r="5735" spans="1:4" x14ac:dyDescent="0.25">
      <c r="A5735" t="s">
        <v>594</v>
      </c>
      <c r="B5735" t="s">
        <v>24</v>
      </c>
      <c r="C5735" s="2">
        <f>HYPERLINK("https://svao.dolgi.msk.ru/account/1760159019/", 1760159019)</f>
        <v>1760159019</v>
      </c>
      <c r="D5735">
        <v>155.68</v>
      </c>
    </row>
    <row r="5736" spans="1:4" x14ac:dyDescent="0.25">
      <c r="A5736" t="s">
        <v>594</v>
      </c>
      <c r="B5736" t="s">
        <v>314</v>
      </c>
      <c r="C5736" s="2">
        <f>HYPERLINK("https://svao.dolgi.msk.ru/account/1760159027/", 1760159027)</f>
        <v>1760159027</v>
      </c>
      <c r="D5736">
        <v>3259.43</v>
      </c>
    </row>
    <row r="5737" spans="1:4" x14ac:dyDescent="0.25">
      <c r="A5737" t="s">
        <v>594</v>
      </c>
      <c r="B5737" t="s">
        <v>242</v>
      </c>
      <c r="C5737" s="2">
        <f>HYPERLINK("https://svao.dolgi.msk.ru/account/1760159035/", 1760159035)</f>
        <v>1760159035</v>
      </c>
      <c r="D5737">
        <v>566.07000000000005</v>
      </c>
    </row>
    <row r="5738" spans="1:4" x14ac:dyDescent="0.25">
      <c r="A5738" t="s">
        <v>594</v>
      </c>
      <c r="B5738" t="s">
        <v>131</v>
      </c>
      <c r="C5738" s="2">
        <f>HYPERLINK("https://svao.dolgi.msk.ru/account/1760159051/", 1760159051)</f>
        <v>1760159051</v>
      </c>
      <c r="D5738">
        <v>284.13</v>
      </c>
    </row>
    <row r="5739" spans="1:4" x14ac:dyDescent="0.25">
      <c r="A5739" t="s">
        <v>594</v>
      </c>
      <c r="B5739" t="s">
        <v>80</v>
      </c>
      <c r="C5739" s="2">
        <f>HYPERLINK("https://svao.dolgi.msk.ru/account/1760159094/", 1760159094)</f>
        <v>1760159094</v>
      </c>
      <c r="D5739">
        <v>3257.62</v>
      </c>
    </row>
    <row r="5740" spans="1:4" x14ac:dyDescent="0.25">
      <c r="A5740" t="s">
        <v>594</v>
      </c>
      <c r="B5740" t="s">
        <v>127</v>
      </c>
      <c r="C5740" s="2">
        <f>HYPERLINK("https://svao.dolgi.msk.ru/account/1760159115/", 1760159115)</f>
        <v>1760159115</v>
      </c>
      <c r="D5740">
        <v>4195.57</v>
      </c>
    </row>
    <row r="5741" spans="1:4" x14ac:dyDescent="0.25">
      <c r="A5741" t="s">
        <v>594</v>
      </c>
      <c r="B5741" t="s">
        <v>82</v>
      </c>
      <c r="C5741" s="2">
        <f>HYPERLINK("https://svao.dolgi.msk.ru/account/1760159166/", 1760159166)</f>
        <v>1760159166</v>
      </c>
      <c r="D5741">
        <v>320</v>
      </c>
    </row>
    <row r="5742" spans="1:4" x14ac:dyDescent="0.25">
      <c r="A5742" t="s">
        <v>595</v>
      </c>
      <c r="B5742" t="s">
        <v>6</v>
      </c>
      <c r="C5742" s="2">
        <f>HYPERLINK("https://svao.dolgi.msk.ru/account/1760270788/", 1760270788)</f>
        <v>1760270788</v>
      </c>
      <c r="D5742">
        <v>761.94</v>
      </c>
    </row>
    <row r="5743" spans="1:4" x14ac:dyDescent="0.25">
      <c r="A5743" t="s">
        <v>595</v>
      </c>
      <c r="B5743" t="s">
        <v>7</v>
      </c>
      <c r="C5743" s="2">
        <f>HYPERLINK("https://svao.dolgi.msk.ru/account/1768044021/", 1768044021)</f>
        <v>1768044021</v>
      </c>
      <c r="D5743">
        <v>141.46</v>
      </c>
    </row>
    <row r="5744" spans="1:4" x14ac:dyDescent="0.25">
      <c r="A5744" t="s">
        <v>595</v>
      </c>
      <c r="B5744" t="s">
        <v>141</v>
      </c>
      <c r="C5744" s="2">
        <f>HYPERLINK("https://svao.dolgi.msk.ru/account/1768004492/", 1768004492)</f>
        <v>1768004492</v>
      </c>
      <c r="D5744">
        <v>49377.06</v>
      </c>
    </row>
    <row r="5745" spans="1:4" x14ac:dyDescent="0.25">
      <c r="A5745" t="s">
        <v>595</v>
      </c>
      <c r="B5745" t="s">
        <v>102</v>
      </c>
      <c r="C5745" s="2">
        <f>HYPERLINK("https://svao.dolgi.msk.ru/account/1768044056/", 1768044056)</f>
        <v>1768044056</v>
      </c>
      <c r="D5745">
        <v>6273.73</v>
      </c>
    </row>
    <row r="5746" spans="1:4" x14ac:dyDescent="0.25">
      <c r="A5746" t="s">
        <v>595</v>
      </c>
      <c r="B5746" t="s">
        <v>104</v>
      </c>
      <c r="C5746" s="2">
        <f>HYPERLINK("https://svao.dolgi.msk.ru/account/1768044099/", 1768044099)</f>
        <v>1768044099</v>
      </c>
      <c r="D5746">
        <v>6012.41</v>
      </c>
    </row>
    <row r="5747" spans="1:4" x14ac:dyDescent="0.25">
      <c r="A5747" t="s">
        <v>595</v>
      </c>
      <c r="B5747" t="s">
        <v>15</v>
      </c>
      <c r="C5747" s="2">
        <f>HYPERLINK("https://svao.dolgi.msk.ru/account/1768044267/", 1768044267)</f>
        <v>1768044267</v>
      </c>
      <c r="D5747">
        <v>170.07</v>
      </c>
    </row>
    <row r="5748" spans="1:4" x14ac:dyDescent="0.25">
      <c r="A5748" t="s">
        <v>595</v>
      </c>
      <c r="B5748" t="s">
        <v>108</v>
      </c>
      <c r="C5748" s="2">
        <f>HYPERLINK("https://svao.dolgi.msk.ru/account/1768044275/", 1768044275)</f>
        <v>1768044275</v>
      </c>
      <c r="D5748">
        <v>3129.32</v>
      </c>
    </row>
    <row r="5749" spans="1:4" x14ac:dyDescent="0.25">
      <c r="A5749" t="s">
        <v>595</v>
      </c>
      <c r="B5749" t="s">
        <v>109</v>
      </c>
      <c r="C5749" s="2">
        <f>HYPERLINK("https://svao.dolgi.msk.ru/account/1768044304/", 1768044304)</f>
        <v>1768044304</v>
      </c>
      <c r="D5749">
        <v>340.14</v>
      </c>
    </row>
    <row r="5750" spans="1:4" x14ac:dyDescent="0.25">
      <c r="A5750" t="s">
        <v>595</v>
      </c>
      <c r="B5750" t="s">
        <v>110</v>
      </c>
      <c r="C5750" s="2">
        <f>HYPERLINK("https://svao.dolgi.msk.ru/account/1768044312/", 1768044312)</f>
        <v>1768044312</v>
      </c>
      <c r="D5750">
        <v>48483.55</v>
      </c>
    </row>
    <row r="5751" spans="1:4" x14ac:dyDescent="0.25">
      <c r="A5751" t="s">
        <v>595</v>
      </c>
      <c r="B5751" t="s">
        <v>20</v>
      </c>
      <c r="C5751" s="2">
        <f>HYPERLINK("https://svao.dolgi.msk.ru/account/1768044339/", 1768044339)</f>
        <v>1768044339</v>
      </c>
      <c r="D5751">
        <v>424.69</v>
      </c>
    </row>
    <row r="5752" spans="1:4" x14ac:dyDescent="0.25">
      <c r="A5752" t="s">
        <v>595</v>
      </c>
      <c r="B5752" t="s">
        <v>92</v>
      </c>
      <c r="C5752" s="2">
        <f>HYPERLINK("https://svao.dolgi.msk.ru/account/1768044347/", 1768044347)</f>
        <v>1768044347</v>
      </c>
      <c r="D5752">
        <v>1188.0899999999999</v>
      </c>
    </row>
    <row r="5753" spans="1:4" x14ac:dyDescent="0.25">
      <c r="A5753" t="s">
        <v>595</v>
      </c>
      <c r="B5753" t="s">
        <v>93</v>
      </c>
      <c r="C5753" s="2">
        <f>HYPERLINK("https://svao.dolgi.msk.ru/account/1768044355/", 1768044355)</f>
        <v>1768044355</v>
      </c>
      <c r="D5753">
        <v>677.98</v>
      </c>
    </row>
    <row r="5754" spans="1:4" x14ac:dyDescent="0.25">
      <c r="A5754" t="s">
        <v>595</v>
      </c>
      <c r="B5754" t="s">
        <v>111</v>
      </c>
      <c r="C5754" s="2">
        <f>HYPERLINK("https://svao.dolgi.msk.ru/account/1768044363/", 1768044363)</f>
        <v>1768044363</v>
      </c>
      <c r="D5754">
        <v>801.82</v>
      </c>
    </row>
    <row r="5755" spans="1:4" x14ac:dyDescent="0.25">
      <c r="A5755" t="s">
        <v>595</v>
      </c>
      <c r="B5755" t="s">
        <v>112</v>
      </c>
      <c r="C5755" s="2">
        <f>HYPERLINK("https://svao.dolgi.msk.ru/account/1768044398/", 1768044398)</f>
        <v>1768044398</v>
      </c>
      <c r="D5755">
        <v>2629.97</v>
      </c>
    </row>
    <row r="5756" spans="1:4" x14ac:dyDescent="0.25">
      <c r="A5756" t="s">
        <v>595</v>
      </c>
      <c r="B5756" t="s">
        <v>77</v>
      </c>
      <c r="C5756" s="2">
        <f>HYPERLINK("https://svao.dolgi.msk.ru/account/1768044435/", 1768044435)</f>
        <v>1768044435</v>
      </c>
      <c r="D5756">
        <v>113.38</v>
      </c>
    </row>
    <row r="5757" spans="1:4" x14ac:dyDescent="0.25">
      <c r="A5757" t="s">
        <v>595</v>
      </c>
      <c r="B5757" t="s">
        <v>114</v>
      </c>
      <c r="C5757" s="2">
        <f>HYPERLINK("https://svao.dolgi.msk.ru/account/1768044443/", 1768044443)</f>
        <v>1768044443</v>
      </c>
      <c r="D5757">
        <v>2033.94</v>
      </c>
    </row>
    <row r="5758" spans="1:4" x14ac:dyDescent="0.25">
      <c r="A5758" t="s">
        <v>595</v>
      </c>
      <c r="B5758" t="s">
        <v>23</v>
      </c>
      <c r="C5758" s="2">
        <f>HYPERLINK("https://svao.dolgi.msk.ru/account/1768044486/", 1768044486)</f>
        <v>1768044486</v>
      </c>
      <c r="D5758">
        <v>5213.58</v>
      </c>
    </row>
    <row r="5759" spans="1:4" x14ac:dyDescent="0.25">
      <c r="A5759" t="s">
        <v>595</v>
      </c>
      <c r="B5759" t="s">
        <v>124</v>
      </c>
      <c r="C5759" s="2">
        <f>HYPERLINK("https://svao.dolgi.msk.ru/account/1768044494/", 1768044494)</f>
        <v>1768044494</v>
      </c>
      <c r="D5759">
        <v>717.11</v>
      </c>
    </row>
    <row r="5760" spans="1:4" x14ac:dyDescent="0.25">
      <c r="A5760" t="s">
        <v>595</v>
      </c>
      <c r="B5760" t="s">
        <v>115</v>
      </c>
      <c r="C5760" s="2">
        <f>HYPERLINK("https://svao.dolgi.msk.ru/account/1768044515/", 1768044515)</f>
        <v>1768044515</v>
      </c>
      <c r="D5760">
        <v>1512.33</v>
      </c>
    </row>
    <row r="5761" spans="1:4" x14ac:dyDescent="0.25">
      <c r="A5761" t="s">
        <v>595</v>
      </c>
      <c r="B5761" t="s">
        <v>320</v>
      </c>
      <c r="C5761" s="2">
        <f>HYPERLINK("https://svao.dolgi.msk.ru/account/1768044523/", 1768044523)</f>
        <v>1768044523</v>
      </c>
      <c r="D5761">
        <v>1558.48</v>
      </c>
    </row>
    <row r="5762" spans="1:4" x14ac:dyDescent="0.25">
      <c r="A5762" t="s">
        <v>595</v>
      </c>
      <c r="B5762" t="s">
        <v>24</v>
      </c>
      <c r="C5762" s="2">
        <f>HYPERLINK("https://svao.dolgi.msk.ru/account/1768044531/", 1768044531)</f>
        <v>1768044531</v>
      </c>
      <c r="D5762">
        <v>7475.98</v>
      </c>
    </row>
    <row r="5763" spans="1:4" x14ac:dyDescent="0.25">
      <c r="A5763" t="s">
        <v>595</v>
      </c>
      <c r="B5763" t="s">
        <v>242</v>
      </c>
      <c r="C5763" s="2">
        <f>HYPERLINK("https://svao.dolgi.msk.ru/account/1768044558/", 1768044558)</f>
        <v>1768044558</v>
      </c>
      <c r="D5763">
        <v>113.38</v>
      </c>
    </row>
    <row r="5764" spans="1:4" x14ac:dyDescent="0.25">
      <c r="A5764" t="s">
        <v>595</v>
      </c>
      <c r="B5764" t="s">
        <v>95</v>
      </c>
      <c r="C5764" s="2">
        <f>HYPERLINK("https://svao.dolgi.msk.ru/account/1768044566/", 1768044566)</f>
        <v>1768044566</v>
      </c>
      <c r="D5764">
        <v>340.14</v>
      </c>
    </row>
    <row r="5765" spans="1:4" x14ac:dyDescent="0.25">
      <c r="A5765" t="s">
        <v>595</v>
      </c>
      <c r="B5765" t="s">
        <v>126</v>
      </c>
      <c r="C5765" s="2">
        <f>HYPERLINK("https://svao.dolgi.msk.ru/account/1768044603/", 1768044603)</f>
        <v>1768044603</v>
      </c>
      <c r="D5765">
        <v>3506.15</v>
      </c>
    </row>
    <row r="5766" spans="1:4" x14ac:dyDescent="0.25">
      <c r="A5766" t="s">
        <v>595</v>
      </c>
      <c r="B5766" t="s">
        <v>80</v>
      </c>
      <c r="C5766" s="2">
        <f>HYPERLINK("https://svao.dolgi.msk.ru/account/1768044611/", 1768044611)</f>
        <v>1768044611</v>
      </c>
      <c r="D5766">
        <v>165.1</v>
      </c>
    </row>
    <row r="5767" spans="1:4" x14ac:dyDescent="0.25">
      <c r="A5767" t="s">
        <v>595</v>
      </c>
      <c r="B5767" t="s">
        <v>118</v>
      </c>
      <c r="C5767" s="2">
        <f>HYPERLINK("https://svao.dolgi.msk.ru/account/1768044638/", 1768044638)</f>
        <v>1768044638</v>
      </c>
      <c r="D5767">
        <v>1181.01</v>
      </c>
    </row>
    <row r="5768" spans="1:4" x14ac:dyDescent="0.25">
      <c r="A5768" t="s">
        <v>595</v>
      </c>
      <c r="B5768" t="s">
        <v>81</v>
      </c>
      <c r="C5768" s="2">
        <f>HYPERLINK("https://svao.dolgi.msk.ru/account/1768044654/", 1768044654)</f>
        <v>1768044654</v>
      </c>
      <c r="D5768">
        <v>10607.07</v>
      </c>
    </row>
    <row r="5769" spans="1:4" x14ac:dyDescent="0.25">
      <c r="A5769" t="s">
        <v>595</v>
      </c>
      <c r="B5769" t="s">
        <v>128</v>
      </c>
      <c r="C5769" s="2">
        <f>HYPERLINK("https://svao.dolgi.msk.ru/account/1768044718/", 1768044718)</f>
        <v>1768044718</v>
      </c>
      <c r="D5769">
        <v>3651.08</v>
      </c>
    </row>
    <row r="5770" spans="1:4" x14ac:dyDescent="0.25">
      <c r="A5770" t="s">
        <v>595</v>
      </c>
      <c r="B5770" t="s">
        <v>83</v>
      </c>
      <c r="C5770" s="2">
        <f>HYPERLINK("https://svao.dolgi.msk.ru/account/1768044734/", 1768044734)</f>
        <v>1768044734</v>
      </c>
      <c r="D5770">
        <v>1044.8699999999999</v>
      </c>
    </row>
    <row r="5771" spans="1:4" x14ac:dyDescent="0.25">
      <c r="A5771" t="s">
        <v>595</v>
      </c>
      <c r="B5771" t="s">
        <v>132</v>
      </c>
      <c r="C5771" s="2">
        <f>HYPERLINK("https://svao.dolgi.msk.ru/account/1768044742/", 1768044742)</f>
        <v>1768044742</v>
      </c>
      <c r="D5771">
        <v>166.32</v>
      </c>
    </row>
    <row r="5772" spans="1:4" x14ac:dyDescent="0.25">
      <c r="A5772" t="s">
        <v>595</v>
      </c>
      <c r="B5772" t="s">
        <v>26</v>
      </c>
      <c r="C5772" s="2">
        <f>HYPERLINK("https://svao.dolgi.msk.ru/account/1768044769/", 1768044769)</f>
        <v>1768044769</v>
      </c>
      <c r="D5772">
        <v>8817.1</v>
      </c>
    </row>
    <row r="5773" spans="1:4" x14ac:dyDescent="0.25">
      <c r="A5773" t="s">
        <v>595</v>
      </c>
      <c r="B5773" t="s">
        <v>133</v>
      </c>
      <c r="C5773" s="2">
        <f>HYPERLINK("https://svao.dolgi.msk.ru/account/1768004476/", 1768004476)</f>
        <v>1768004476</v>
      </c>
      <c r="D5773">
        <v>1321.24</v>
      </c>
    </row>
    <row r="5774" spans="1:4" x14ac:dyDescent="0.25">
      <c r="A5774" t="s">
        <v>595</v>
      </c>
      <c r="B5774" t="s">
        <v>96</v>
      </c>
      <c r="C5774" s="2">
        <f>HYPERLINK("https://svao.dolgi.msk.ru/account/1768044777/", 1768044777)</f>
        <v>1768044777</v>
      </c>
      <c r="D5774">
        <v>102.98</v>
      </c>
    </row>
    <row r="5775" spans="1:4" x14ac:dyDescent="0.25">
      <c r="A5775" t="s">
        <v>595</v>
      </c>
      <c r="B5775" t="s">
        <v>290</v>
      </c>
      <c r="C5775" s="2">
        <f>HYPERLINK("https://svao.dolgi.msk.ru/account/1768044785/", 1768044785)</f>
        <v>1768044785</v>
      </c>
      <c r="D5775">
        <v>552.6</v>
      </c>
    </row>
    <row r="5776" spans="1:4" x14ac:dyDescent="0.25">
      <c r="A5776" t="s">
        <v>595</v>
      </c>
      <c r="B5776" t="s">
        <v>134</v>
      </c>
      <c r="C5776" s="2">
        <f>HYPERLINK("https://svao.dolgi.msk.ru/account/1768044814/", 1768044814)</f>
        <v>1768044814</v>
      </c>
      <c r="D5776">
        <v>646.59</v>
      </c>
    </row>
    <row r="5777" spans="1:4" x14ac:dyDescent="0.25">
      <c r="A5777" t="s">
        <v>596</v>
      </c>
      <c r="B5777" t="s">
        <v>41</v>
      </c>
      <c r="C5777" s="2">
        <f>HYPERLINK("https://svao.dolgi.msk.ru/account/1768041146/", 1768041146)</f>
        <v>1768041146</v>
      </c>
      <c r="D5777">
        <v>7015.55</v>
      </c>
    </row>
    <row r="5778" spans="1:4" x14ac:dyDescent="0.25">
      <c r="A5778" t="s">
        <v>596</v>
      </c>
      <c r="B5778" t="s">
        <v>5</v>
      </c>
      <c r="C5778" s="2">
        <f>HYPERLINK("https://svao.dolgi.msk.ru/account/1760266359/", 1760266359)</f>
        <v>1760266359</v>
      </c>
      <c r="D5778">
        <v>309.26</v>
      </c>
    </row>
    <row r="5779" spans="1:4" x14ac:dyDescent="0.25">
      <c r="A5779" t="s">
        <v>596</v>
      </c>
      <c r="B5779" t="s">
        <v>103</v>
      </c>
      <c r="C5779" s="2">
        <f>HYPERLINK("https://svao.dolgi.msk.ru/account/1768041218/", 1768041218)</f>
        <v>1768041218</v>
      </c>
      <c r="D5779">
        <v>271.02999999999997</v>
      </c>
    </row>
    <row r="5780" spans="1:4" x14ac:dyDescent="0.25">
      <c r="A5780" t="s">
        <v>596</v>
      </c>
      <c r="B5780" t="s">
        <v>73</v>
      </c>
      <c r="C5780" s="2">
        <f>HYPERLINK("https://svao.dolgi.msk.ru/account/1768041226/", 1768041226)</f>
        <v>1768041226</v>
      </c>
      <c r="D5780">
        <v>1137.6099999999999</v>
      </c>
    </row>
    <row r="5781" spans="1:4" x14ac:dyDescent="0.25">
      <c r="A5781" t="s">
        <v>596</v>
      </c>
      <c r="B5781" t="s">
        <v>104</v>
      </c>
      <c r="C5781" s="2">
        <f>HYPERLINK("https://svao.dolgi.msk.ru/account/1768041234/", 1768041234)</f>
        <v>1768041234</v>
      </c>
      <c r="D5781">
        <v>4319.78</v>
      </c>
    </row>
    <row r="5782" spans="1:4" x14ac:dyDescent="0.25">
      <c r="A5782" t="s">
        <v>596</v>
      </c>
      <c r="B5782" t="s">
        <v>8</v>
      </c>
      <c r="C5782" s="2">
        <f>HYPERLINK("https://svao.dolgi.msk.ru/account/1768041242/", 1768041242)</f>
        <v>1768041242</v>
      </c>
      <c r="D5782">
        <v>9004.48</v>
      </c>
    </row>
    <row r="5783" spans="1:4" x14ac:dyDescent="0.25">
      <c r="A5783" t="s">
        <v>596</v>
      </c>
      <c r="B5783" t="s">
        <v>9</v>
      </c>
      <c r="C5783" s="2">
        <f>HYPERLINK("https://svao.dolgi.msk.ru/account/1768041285/", 1768041285)</f>
        <v>1768041285</v>
      </c>
      <c r="D5783">
        <v>5965.1</v>
      </c>
    </row>
    <row r="5784" spans="1:4" x14ac:dyDescent="0.25">
      <c r="A5784" t="s">
        <v>596</v>
      </c>
      <c r="B5784" t="s">
        <v>91</v>
      </c>
      <c r="C5784" s="2">
        <f>HYPERLINK("https://svao.dolgi.msk.ru/account/1768003537/", 1768003537)</f>
        <v>1768003537</v>
      </c>
      <c r="D5784">
        <v>555.59</v>
      </c>
    </row>
    <row r="5785" spans="1:4" x14ac:dyDescent="0.25">
      <c r="A5785" t="s">
        <v>596</v>
      </c>
      <c r="B5785" t="s">
        <v>12</v>
      </c>
      <c r="C5785" s="2">
        <f>HYPERLINK("https://svao.dolgi.msk.ru/account/1768041322/", 1768041322)</f>
        <v>1768041322</v>
      </c>
      <c r="D5785">
        <v>907.71</v>
      </c>
    </row>
    <row r="5786" spans="1:4" x14ac:dyDescent="0.25">
      <c r="A5786" t="s">
        <v>596</v>
      </c>
      <c r="B5786" t="s">
        <v>14</v>
      </c>
      <c r="C5786" s="2">
        <f>HYPERLINK("https://svao.dolgi.msk.ru/account/1768041357/", 1768041357)</f>
        <v>1768041357</v>
      </c>
      <c r="D5786">
        <v>110.99</v>
      </c>
    </row>
    <row r="5787" spans="1:4" x14ac:dyDescent="0.25">
      <c r="A5787" t="s">
        <v>596</v>
      </c>
      <c r="B5787" t="s">
        <v>106</v>
      </c>
      <c r="C5787" s="2">
        <f>HYPERLINK("https://svao.dolgi.msk.ru/account/1768041365/", 1768041365)</f>
        <v>1768041365</v>
      </c>
      <c r="D5787">
        <v>428.78</v>
      </c>
    </row>
    <row r="5788" spans="1:4" x14ac:dyDescent="0.25">
      <c r="A5788" t="s">
        <v>596</v>
      </c>
      <c r="B5788" t="s">
        <v>107</v>
      </c>
      <c r="C5788" s="2">
        <f>HYPERLINK("https://svao.dolgi.msk.ru/account/1768003502/", 1768003502)</f>
        <v>1768003502</v>
      </c>
      <c r="D5788">
        <v>293.60000000000002</v>
      </c>
    </row>
    <row r="5789" spans="1:4" x14ac:dyDescent="0.25">
      <c r="A5789" t="s">
        <v>596</v>
      </c>
      <c r="B5789" t="s">
        <v>17</v>
      </c>
      <c r="C5789" s="2">
        <f>HYPERLINK("https://svao.dolgi.msk.ru/account/1768041381/", 1768041381)</f>
        <v>1768041381</v>
      </c>
      <c r="D5789">
        <v>691.6</v>
      </c>
    </row>
    <row r="5790" spans="1:4" x14ac:dyDescent="0.25">
      <c r="A5790" t="s">
        <v>596</v>
      </c>
      <c r="B5790" t="s">
        <v>18</v>
      </c>
      <c r="C5790" s="2">
        <f>HYPERLINK("https://svao.dolgi.msk.ru/account/1768041402/", 1768041402)</f>
        <v>1768041402</v>
      </c>
      <c r="D5790">
        <v>1338.4</v>
      </c>
    </row>
    <row r="5791" spans="1:4" x14ac:dyDescent="0.25">
      <c r="A5791" t="s">
        <v>596</v>
      </c>
      <c r="B5791" t="s">
        <v>19</v>
      </c>
      <c r="C5791" s="2">
        <f>HYPERLINK("https://svao.dolgi.msk.ru/account/1768041429/", 1768041429)</f>
        <v>1768041429</v>
      </c>
      <c r="D5791">
        <v>936.14</v>
      </c>
    </row>
    <row r="5792" spans="1:4" x14ac:dyDescent="0.25">
      <c r="A5792" t="s">
        <v>596</v>
      </c>
      <c r="B5792" t="s">
        <v>110</v>
      </c>
      <c r="C5792" s="2">
        <f>HYPERLINK("https://svao.dolgi.msk.ru/account/1768041445/", 1768041445)</f>
        <v>1768041445</v>
      </c>
      <c r="D5792">
        <v>241.66</v>
      </c>
    </row>
    <row r="5793" spans="1:4" x14ac:dyDescent="0.25">
      <c r="A5793" t="s">
        <v>596</v>
      </c>
      <c r="B5793" t="s">
        <v>76</v>
      </c>
      <c r="C5793" s="2">
        <f>HYPERLINK("https://svao.dolgi.msk.ru/account/1768041453/", 1768041453)</f>
        <v>1768041453</v>
      </c>
      <c r="D5793">
        <v>1496.6</v>
      </c>
    </row>
    <row r="5794" spans="1:4" x14ac:dyDescent="0.25">
      <c r="A5794" t="s">
        <v>596</v>
      </c>
      <c r="B5794" t="s">
        <v>92</v>
      </c>
      <c r="C5794" s="2">
        <f>HYPERLINK("https://svao.dolgi.msk.ru/account/1768041461/", 1768041461)</f>
        <v>1768041461</v>
      </c>
      <c r="D5794">
        <v>1804.43</v>
      </c>
    </row>
    <row r="5795" spans="1:4" x14ac:dyDescent="0.25">
      <c r="A5795" t="s">
        <v>596</v>
      </c>
      <c r="B5795" t="s">
        <v>111</v>
      </c>
      <c r="C5795" s="2">
        <f>HYPERLINK("https://svao.dolgi.msk.ru/account/1768041496/", 1768041496)</f>
        <v>1768041496</v>
      </c>
      <c r="D5795">
        <v>810.21</v>
      </c>
    </row>
    <row r="5796" spans="1:4" x14ac:dyDescent="0.25">
      <c r="A5796" t="s">
        <v>596</v>
      </c>
      <c r="B5796" t="s">
        <v>94</v>
      </c>
      <c r="C5796" s="2">
        <f>HYPERLINK("https://svao.dolgi.msk.ru/account/1768041509/", 1768041509)</f>
        <v>1768041509</v>
      </c>
      <c r="D5796">
        <v>1640.06</v>
      </c>
    </row>
    <row r="5797" spans="1:4" x14ac:dyDescent="0.25">
      <c r="A5797" t="s">
        <v>596</v>
      </c>
      <c r="B5797" t="s">
        <v>112</v>
      </c>
      <c r="C5797" s="2">
        <f>HYPERLINK("https://svao.dolgi.msk.ru/account/1768003545/", 1768003545)</f>
        <v>1768003545</v>
      </c>
      <c r="D5797">
        <v>1232.3</v>
      </c>
    </row>
    <row r="5798" spans="1:4" x14ac:dyDescent="0.25">
      <c r="A5798" t="s">
        <v>596</v>
      </c>
      <c r="B5798" t="s">
        <v>113</v>
      </c>
      <c r="C5798" s="2">
        <f>HYPERLINK("https://svao.dolgi.msk.ru/account/1768041517/", 1768041517)</f>
        <v>1768041517</v>
      </c>
      <c r="D5798">
        <v>2431.1799999999998</v>
      </c>
    </row>
    <row r="5799" spans="1:4" x14ac:dyDescent="0.25">
      <c r="A5799" t="s">
        <v>596</v>
      </c>
      <c r="B5799" t="s">
        <v>114</v>
      </c>
      <c r="C5799" s="2">
        <f>HYPERLINK("https://svao.dolgi.msk.ru/account/1768041541/", 1768041541)</f>
        <v>1768041541</v>
      </c>
      <c r="D5799">
        <v>687.66</v>
      </c>
    </row>
    <row r="5800" spans="1:4" x14ac:dyDescent="0.25">
      <c r="A5800" t="s">
        <v>596</v>
      </c>
      <c r="B5800" t="s">
        <v>79</v>
      </c>
      <c r="C5800" s="2">
        <f>HYPERLINK("https://svao.dolgi.msk.ru/account/1768041584/", 1768041584)</f>
        <v>1768041584</v>
      </c>
      <c r="D5800">
        <v>48209.27</v>
      </c>
    </row>
    <row r="5801" spans="1:4" x14ac:dyDescent="0.25">
      <c r="A5801" t="s">
        <v>596</v>
      </c>
      <c r="B5801" t="s">
        <v>117</v>
      </c>
      <c r="C5801" s="2">
        <f>HYPERLINK("https://svao.dolgi.msk.ru/account/1768041605/", 1768041605)</f>
        <v>1768041605</v>
      </c>
      <c r="D5801">
        <v>2073.8200000000002</v>
      </c>
    </row>
    <row r="5802" spans="1:4" x14ac:dyDescent="0.25">
      <c r="A5802" t="s">
        <v>596</v>
      </c>
      <c r="B5802" t="s">
        <v>320</v>
      </c>
      <c r="C5802" s="2">
        <f>HYPERLINK("https://svao.dolgi.msk.ru/account/1768041621/", 1768041621)</f>
        <v>1768041621</v>
      </c>
      <c r="D5802">
        <v>566.9</v>
      </c>
    </row>
    <row r="5803" spans="1:4" x14ac:dyDescent="0.25">
      <c r="A5803" t="s">
        <v>596</v>
      </c>
      <c r="B5803" t="s">
        <v>95</v>
      </c>
      <c r="C5803" s="2">
        <f>HYPERLINK("https://svao.dolgi.msk.ru/account/1768041672/", 1768041672)</f>
        <v>1768041672</v>
      </c>
      <c r="D5803">
        <v>1301.82</v>
      </c>
    </row>
    <row r="5804" spans="1:4" x14ac:dyDescent="0.25">
      <c r="A5804" t="s">
        <v>596</v>
      </c>
      <c r="B5804" t="s">
        <v>131</v>
      </c>
      <c r="C5804" s="2">
        <f>HYPERLINK("https://svao.dolgi.msk.ru/account/1768041699/", 1768041699)</f>
        <v>1768041699</v>
      </c>
      <c r="D5804">
        <v>513.54999999999995</v>
      </c>
    </row>
    <row r="5805" spans="1:4" x14ac:dyDescent="0.25">
      <c r="A5805" t="s">
        <v>596</v>
      </c>
      <c r="B5805" t="s">
        <v>119</v>
      </c>
      <c r="C5805" s="2">
        <f>HYPERLINK("https://svao.dolgi.msk.ru/account/1768041779/", 1768041779)</f>
        <v>1768041779</v>
      </c>
      <c r="D5805">
        <v>242.24</v>
      </c>
    </row>
    <row r="5806" spans="1:4" x14ac:dyDescent="0.25">
      <c r="A5806" t="s">
        <v>596</v>
      </c>
      <c r="B5806" t="s">
        <v>120</v>
      </c>
      <c r="C5806" s="2">
        <f>HYPERLINK("https://svao.dolgi.msk.ru/account/1768041787/", 1768041787)</f>
        <v>1768041787</v>
      </c>
      <c r="D5806">
        <v>1446.24</v>
      </c>
    </row>
    <row r="5807" spans="1:4" x14ac:dyDescent="0.25">
      <c r="A5807" t="s">
        <v>596</v>
      </c>
      <c r="B5807" t="s">
        <v>25</v>
      </c>
      <c r="C5807" s="2">
        <f>HYPERLINK("https://svao.dolgi.msk.ru/account/1768041808/", 1768041808)</f>
        <v>1768041808</v>
      </c>
      <c r="D5807">
        <v>703.17</v>
      </c>
    </row>
    <row r="5808" spans="1:4" x14ac:dyDescent="0.25">
      <c r="A5808" t="s">
        <v>596</v>
      </c>
      <c r="B5808" t="s">
        <v>83</v>
      </c>
      <c r="C5808" s="2">
        <f>HYPERLINK("https://svao.dolgi.msk.ru/account/1768041816/", 1768041816)</f>
        <v>1768041816</v>
      </c>
      <c r="D5808">
        <v>1942.09</v>
      </c>
    </row>
    <row r="5809" spans="1:4" x14ac:dyDescent="0.25">
      <c r="A5809" t="s">
        <v>596</v>
      </c>
      <c r="B5809" t="s">
        <v>132</v>
      </c>
      <c r="C5809" s="2">
        <f>HYPERLINK("https://svao.dolgi.msk.ru/account/1768041824/", 1768041824)</f>
        <v>1768041824</v>
      </c>
      <c r="D5809">
        <v>1605.77</v>
      </c>
    </row>
    <row r="5810" spans="1:4" x14ac:dyDescent="0.25">
      <c r="A5810" t="s">
        <v>596</v>
      </c>
      <c r="B5810" t="s">
        <v>27</v>
      </c>
      <c r="C5810" s="2">
        <f>HYPERLINK("https://svao.dolgi.msk.ru/account/1768041867/", 1768041867)</f>
        <v>1768041867</v>
      </c>
      <c r="D5810">
        <v>3245.9</v>
      </c>
    </row>
    <row r="5811" spans="1:4" x14ac:dyDescent="0.25">
      <c r="A5811" t="s">
        <v>596</v>
      </c>
      <c r="B5811" t="s">
        <v>290</v>
      </c>
      <c r="C5811" s="2">
        <f>HYPERLINK("https://svao.dolgi.msk.ru/account/1768041875/", 1768041875)</f>
        <v>1768041875</v>
      </c>
      <c r="D5811">
        <v>164.67</v>
      </c>
    </row>
    <row r="5812" spans="1:4" x14ac:dyDescent="0.25">
      <c r="A5812" t="s">
        <v>596</v>
      </c>
      <c r="B5812" t="s">
        <v>243</v>
      </c>
      <c r="C5812" s="2">
        <f>HYPERLINK("https://svao.dolgi.msk.ru/account/1768041883/", 1768041883)</f>
        <v>1768041883</v>
      </c>
      <c r="D5812">
        <v>147.72</v>
      </c>
    </row>
    <row r="5813" spans="1:4" x14ac:dyDescent="0.25">
      <c r="A5813" t="s">
        <v>596</v>
      </c>
      <c r="B5813" t="s">
        <v>134</v>
      </c>
      <c r="C5813" s="2">
        <f>HYPERLINK("https://svao.dolgi.msk.ru/account/1768041904/", 1768041904)</f>
        <v>1768041904</v>
      </c>
      <c r="D5813">
        <v>1415.09</v>
      </c>
    </row>
    <row r="5814" spans="1:4" x14ac:dyDescent="0.25">
      <c r="A5814" t="s">
        <v>597</v>
      </c>
      <c r="B5814" t="s">
        <v>5</v>
      </c>
      <c r="C5814" s="2">
        <f>HYPERLINK("https://svao.dolgi.msk.ru/account/1760143316/", 1760143316)</f>
        <v>1760143316</v>
      </c>
      <c r="D5814">
        <v>5186.66</v>
      </c>
    </row>
    <row r="5815" spans="1:4" x14ac:dyDescent="0.25">
      <c r="A5815" t="s">
        <v>597</v>
      </c>
      <c r="B5815" t="s">
        <v>7</v>
      </c>
      <c r="C5815" s="2">
        <f>HYPERLINK("https://svao.dolgi.msk.ru/account/1760143324/", 1760143324)</f>
        <v>1760143324</v>
      </c>
      <c r="D5815">
        <v>8635.7199999999993</v>
      </c>
    </row>
    <row r="5816" spans="1:4" x14ac:dyDescent="0.25">
      <c r="A5816" t="s">
        <v>597</v>
      </c>
      <c r="B5816" t="s">
        <v>73</v>
      </c>
      <c r="C5816" s="2">
        <f>HYPERLINK("https://svao.dolgi.msk.ru/account/1760143383/", 1760143383)</f>
        <v>1760143383</v>
      </c>
      <c r="D5816">
        <v>982.75</v>
      </c>
    </row>
    <row r="5817" spans="1:4" x14ac:dyDescent="0.25">
      <c r="A5817" t="s">
        <v>597</v>
      </c>
      <c r="B5817" t="s">
        <v>137</v>
      </c>
      <c r="C5817" s="2">
        <f>HYPERLINK("https://svao.dolgi.msk.ru/account/1760143439/", 1760143439)</f>
        <v>1760143439</v>
      </c>
      <c r="D5817">
        <v>4668.05</v>
      </c>
    </row>
    <row r="5818" spans="1:4" x14ac:dyDescent="0.25">
      <c r="A5818" t="s">
        <v>597</v>
      </c>
      <c r="B5818" t="s">
        <v>10</v>
      </c>
      <c r="C5818" s="2">
        <f>HYPERLINK("https://svao.dolgi.msk.ru/account/1760143471/", 1760143471)</f>
        <v>1760143471</v>
      </c>
      <c r="D5818">
        <v>10718.88</v>
      </c>
    </row>
    <row r="5819" spans="1:4" x14ac:dyDescent="0.25">
      <c r="A5819" t="s">
        <v>597</v>
      </c>
      <c r="B5819" t="s">
        <v>12</v>
      </c>
      <c r="C5819" s="2">
        <f>HYPERLINK("https://svao.dolgi.msk.ru/account/1760143527/", 1760143527)</f>
        <v>1760143527</v>
      </c>
      <c r="D5819">
        <v>6156.97</v>
      </c>
    </row>
    <row r="5820" spans="1:4" x14ac:dyDescent="0.25">
      <c r="A5820" t="s">
        <v>597</v>
      </c>
      <c r="B5820" t="s">
        <v>14</v>
      </c>
      <c r="C5820" s="2">
        <f>HYPERLINK("https://svao.dolgi.msk.ru/account/1760143543/", 1760143543)</f>
        <v>1760143543</v>
      </c>
      <c r="D5820">
        <v>5781.83</v>
      </c>
    </row>
    <row r="5821" spans="1:4" x14ac:dyDescent="0.25">
      <c r="A5821" t="s">
        <v>597</v>
      </c>
      <c r="B5821" t="s">
        <v>15</v>
      </c>
      <c r="C5821" s="2">
        <f>HYPERLINK("https://svao.dolgi.msk.ru/account/1760143586/", 1760143586)</f>
        <v>1760143586</v>
      </c>
      <c r="D5821">
        <v>228849.08</v>
      </c>
    </row>
    <row r="5822" spans="1:4" x14ac:dyDescent="0.25">
      <c r="A5822" t="s">
        <v>597</v>
      </c>
      <c r="B5822" t="s">
        <v>108</v>
      </c>
      <c r="C5822" s="2">
        <f>HYPERLINK("https://svao.dolgi.msk.ru/account/1760143594/", 1760143594)</f>
        <v>1760143594</v>
      </c>
      <c r="D5822">
        <v>2425.35</v>
      </c>
    </row>
    <row r="5823" spans="1:4" x14ac:dyDescent="0.25">
      <c r="A5823" t="s">
        <v>597</v>
      </c>
      <c r="B5823" t="s">
        <v>16</v>
      </c>
      <c r="C5823" s="2">
        <f>HYPERLINK("https://svao.dolgi.msk.ru/account/1760143607/", 1760143607)</f>
        <v>1760143607</v>
      </c>
      <c r="D5823">
        <v>3890.47</v>
      </c>
    </row>
    <row r="5824" spans="1:4" x14ac:dyDescent="0.25">
      <c r="A5824" t="s">
        <v>597</v>
      </c>
      <c r="B5824" t="s">
        <v>109</v>
      </c>
      <c r="C5824" s="2">
        <f>HYPERLINK("https://svao.dolgi.msk.ru/account/1760143658/", 1760143658)</f>
        <v>1760143658</v>
      </c>
      <c r="D5824">
        <v>4616.01</v>
      </c>
    </row>
    <row r="5825" spans="1:4" x14ac:dyDescent="0.25">
      <c r="A5825" t="s">
        <v>597</v>
      </c>
      <c r="B5825" t="s">
        <v>93</v>
      </c>
      <c r="C5825" s="2">
        <f>HYPERLINK("https://svao.dolgi.msk.ru/account/1760143711/", 1760143711)</f>
        <v>1760143711</v>
      </c>
      <c r="D5825">
        <v>3810.69</v>
      </c>
    </row>
    <row r="5826" spans="1:4" x14ac:dyDescent="0.25">
      <c r="A5826" t="s">
        <v>597</v>
      </c>
      <c r="B5826" t="s">
        <v>112</v>
      </c>
      <c r="C5826" s="2">
        <f>HYPERLINK("https://svao.dolgi.msk.ru/account/1760143754/", 1760143754)</f>
        <v>1760143754</v>
      </c>
      <c r="D5826">
        <v>5027.1000000000004</v>
      </c>
    </row>
    <row r="5827" spans="1:4" x14ac:dyDescent="0.25">
      <c r="A5827" t="s">
        <v>597</v>
      </c>
      <c r="B5827" t="s">
        <v>113</v>
      </c>
      <c r="C5827" s="2">
        <f>HYPERLINK("https://svao.dolgi.msk.ru/account/1760143762/", 1760143762)</f>
        <v>1760143762</v>
      </c>
      <c r="D5827">
        <v>19535.689999999999</v>
      </c>
    </row>
    <row r="5828" spans="1:4" x14ac:dyDescent="0.25">
      <c r="A5828" t="s">
        <v>597</v>
      </c>
      <c r="B5828" t="s">
        <v>21</v>
      </c>
      <c r="C5828" s="2">
        <f>HYPERLINK("https://svao.dolgi.msk.ru/account/1760143789/", 1760143789)</f>
        <v>1760143789</v>
      </c>
      <c r="D5828">
        <v>4495.13</v>
      </c>
    </row>
    <row r="5829" spans="1:4" x14ac:dyDescent="0.25">
      <c r="A5829" t="s">
        <v>597</v>
      </c>
      <c r="B5829" t="s">
        <v>22</v>
      </c>
      <c r="C5829" s="2">
        <f>HYPERLINK("https://svao.dolgi.msk.ru/account/1760143834/", 1760143834)</f>
        <v>1760143834</v>
      </c>
      <c r="D5829">
        <v>5440.99</v>
      </c>
    </row>
    <row r="5830" spans="1:4" x14ac:dyDescent="0.25">
      <c r="A5830" t="s">
        <v>597</v>
      </c>
      <c r="B5830" t="s">
        <v>79</v>
      </c>
      <c r="C5830" s="2">
        <f>HYPERLINK("https://svao.dolgi.msk.ru/account/1760143842/", 1760143842)</f>
        <v>1760143842</v>
      </c>
      <c r="D5830">
        <v>2180.1</v>
      </c>
    </row>
    <row r="5831" spans="1:4" x14ac:dyDescent="0.25">
      <c r="A5831" t="s">
        <v>597</v>
      </c>
      <c r="B5831" t="s">
        <v>23</v>
      </c>
      <c r="C5831" s="2">
        <f>HYPERLINK("https://svao.dolgi.msk.ru/account/1760143869/", 1760143869)</f>
        <v>1760143869</v>
      </c>
      <c r="D5831">
        <v>2920.04</v>
      </c>
    </row>
    <row r="5832" spans="1:4" x14ac:dyDescent="0.25">
      <c r="A5832" t="s">
        <v>597</v>
      </c>
      <c r="B5832" t="s">
        <v>320</v>
      </c>
      <c r="C5832" s="2">
        <f>HYPERLINK("https://svao.dolgi.msk.ru/account/1760143906/", 1760143906)</f>
        <v>1760143906</v>
      </c>
      <c r="D5832">
        <v>149.81</v>
      </c>
    </row>
    <row r="5833" spans="1:4" x14ac:dyDescent="0.25">
      <c r="A5833" t="s">
        <v>597</v>
      </c>
      <c r="B5833" t="s">
        <v>131</v>
      </c>
      <c r="C5833" s="2">
        <f>HYPERLINK("https://svao.dolgi.msk.ru/account/1760143965/", 1760143965)</f>
        <v>1760143965</v>
      </c>
      <c r="D5833">
        <v>7493.78</v>
      </c>
    </row>
    <row r="5834" spans="1:4" x14ac:dyDescent="0.25">
      <c r="A5834" t="s">
        <v>597</v>
      </c>
      <c r="B5834" t="s">
        <v>120</v>
      </c>
      <c r="C5834" s="2">
        <f>HYPERLINK("https://svao.dolgi.msk.ru/account/1760144079/", 1760144079)</f>
        <v>1760144079</v>
      </c>
      <c r="D5834">
        <v>4886.92</v>
      </c>
    </row>
    <row r="5835" spans="1:4" x14ac:dyDescent="0.25">
      <c r="A5835" t="s">
        <v>597</v>
      </c>
      <c r="B5835" t="s">
        <v>128</v>
      </c>
      <c r="C5835" s="2">
        <f>HYPERLINK("https://svao.dolgi.msk.ru/account/1760144095/", 1760144095)</f>
        <v>1760144095</v>
      </c>
      <c r="D5835">
        <v>2144.8000000000002</v>
      </c>
    </row>
    <row r="5836" spans="1:4" x14ac:dyDescent="0.25">
      <c r="A5836" t="s">
        <v>597</v>
      </c>
      <c r="B5836" t="s">
        <v>133</v>
      </c>
      <c r="C5836" s="2">
        <f>HYPERLINK("https://svao.dolgi.msk.ru/account/1760144159/", 1760144159)</f>
        <v>1760144159</v>
      </c>
      <c r="D5836">
        <v>5151.05</v>
      </c>
    </row>
    <row r="5837" spans="1:4" x14ac:dyDescent="0.25">
      <c r="A5837" t="s">
        <v>597</v>
      </c>
      <c r="B5837" t="s">
        <v>96</v>
      </c>
      <c r="C5837" s="2">
        <f>HYPERLINK("https://svao.dolgi.msk.ru/account/1760144167/", 1760144167)</f>
        <v>1760144167</v>
      </c>
      <c r="D5837">
        <v>47384.43</v>
      </c>
    </row>
    <row r="5838" spans="1:4" x14ac:dyDescent="0.25">
      <c r="A5838" t="s">
        <v>597</v>
      </c>
      <c r="B5838" t="s">
        <v>244</v>
      </c>
      <c r="C5838" s="2">
        <f>HYPERLINK("https://svao.dolgi.msk.ru/account/1760144263/", 1760144263)</f>
        <v>1760144263</v>
      </c>
      <c r="D5838">
        <v>5144.8500000000004</v>
      </c>
    </row>
    <row r="5839" spans="1:4" x14ac:dyDescent="0.25">
      <c r="A5839" t="s">
        <v>597</v>
      </c>
      <c r="B5839" t="s">
        <v>129</v>
      </c>
      <c r="C5839" s="2">
        <f>HYPERLINK("https://svao.dolgi.msk.ru/account/1760144271/", 1760144271)</f>
        <v>1760144271</v>
      </c>
      <c r="D5839">
        <v>2420.6999999999998</v>
      </c>
    </row>
    <row r="5840" spans="1:4" x14ac:dyDescent="0.25">
      <c r="A5840" t="s">
        <v>597</v>
      </c>
      <c r="B5840" t="s">
        <v>30</v>
      </c>
      <c r="C5840" s="2">
        <f>HYPERLINK("https://svao.dolgi.msk.ru/account/1760144298/", 1760144298)</f>
        <v>1760144298</v>
      </c>
      <c r="D5840">
        <v>4835.88</v>
      </c>
    </row>
    <row r="5841" spans="1:4" x14ac:dyDescent="0.25">
      <c r="A5841" t="s">
        <v>598</v>
      </c>
      <c r="B5841" t="s">
        <v>6</v>
      </c>
      <c r="C5841" s="2">
        <f>HYPERLINK("https://svao.dolgi.msk.ru/account/1768034245/", 1768034245)</f>
        <v>1768034245</v>
      </c>
      <c r="D5841">
        <v>1034.33</v>
      </c>
    </row>
    <row r="5842" spans="1:4" x14ac:dyDescent="0.25">
      <c r="A5842" t="s">
        <v>598</v>
      </c>
      <c r="B5842" t="s">
        <v>41</v>
      </c>
      <c r="C5842" s="2">
        <f>HYPERLINK("https://svao.dolgi.msk.ru/account/1768034253/", 1768034253)</f>
        <v>1768034253</v>
      </c>
      <c r="D5842">
        <v>43293.53</v>
      </c>
    </row>
    <row r="5843" spans="1:4" x14ac:dyDescent="0.25">
      <c r="A5843" t="s">
        <v>598</v>
      </c>
      <c r="B5843" t="s">
        <v>101</v>
      </c>
      <c r="C5843" s="2">
        <f>HYPERLINK("https://svao.dolgi.msk.ru/account/1768034296/", 1768034296)</f>
        <v>1768034296</v>
      </c>
      <c r="D5843">
        <v>2408.65</v>
      </c>
    </row>
    <row r="5844" spans="1:4" x14ac:dyDescent="0.25">
      <c r="A5844" t="s">
        <v>598</v>
      </c>
      <c r="B5844" t="s">
        <v>102</v>
      </c>
      <c r="C5844" s="2">
        <f>HYPERLINK("https://svao.dolgi.msk.ru/account/1768034309/", 1768034309)</f>
        <v>1768034309</v>
      </c>
      <c r="D5844">
        <v>893.85</v>
      </c>
    </row>
    <row r="5845" spans="1:4" x14ac:dyDescent="0.25">
      <c r="A5845" t="s">
        <v>598</v>
      </c>
      <c r="B5845" t="s">
        <v>103</v>
      </c>
      <c r="C5845" s="2">
        <f>HYPERLINK("https://svao.dolgi.msk.ru/account/1768034317/", 1768034317)</f>
        <v>1768034317</v>
      </c>
      <c r="D5845">
        <v>2737.96</v>
      </c>
    </row>
    <row r="5846" spans="1:4" x14ac:dyDescent="0.25">
      <c r="A5846" t="s">
        <v>598</v>
      </c>
      <c r="B5846" t="s">
        <v>73</v>
      </c>
      <c r="C5846" s="2">
        <f>HYPERLINK("https://svao.dolgi.msk.ru/account/1768034325/", 1768034325)</f>
        <v>1768034325</v>
      </c>
      <c r="D5846">
        <v>712.24</v>
      </c>
    </row>
    <row r="5847" spans="1:4" x14ac:dyDescent="0.25">
      <c r="A5847" t="s">
        <v>598</v>
      </c>
      <c r="B5847" t="s">
        <v>104</v>
      </c>
      <c r="C5847" s="2">
        <f>HYPERLINK("https://svao.dolgi.msk.ru/account/1768001013/", 1768001013)</f>
        <v>1768001013</v>
      </c>
      <c r="D5847">
        <v>613.92999999999995</v>
      </c>
    </row>
    <row r="5848" spans="1:4" x14ac:dyDescent="0.25">
      <c r="A5848" t="s">
        <v>598</v>
      </c>
      <c r="B5848" t="s">
        <v>74</v>
      </c>
      <c r="C5848" s="2">
        <f>HYPERLINK("https://svao.dolgi.msk.ru/account/1768034341/", 1768034341)</f>
        <v>1768034341</v>
      </c>
      <c r="D5848">
        <v>1252.42</v>
      </c>
    </row>
    <row r="5849" spans="1:4" x14ac:dyDescent="0.25">
      <c r="A5849" t="s">
        <v>598</v>
      </c>
      <c r="B5849" t="s">
        <v>9</v>
      </c>
      <c r="C5849" s="2">
        <f>HYPERLINK("https://svao.dolgi.msk.ru/account/1768034376/", 1768034376)</f>
        <v>1768034376</v>
      </c>
      <c r="D5849">
        <v>2680.96</v>
      </c>
    </row>
    <row r="5850" spans="1:4" x14ac:dyDescent="0.25">
      <c r="A5850" t="s">
        <v>598</v>
      </c>
      <c r="B5850" t="s">
        <v>91</v>
      </c>
      <c r="C5850" s="2">
        <f>HYPERLINK("https://svao.dolgi.msk.ru/account/1768034392/", 1768034392)</f>
        <v>1768034392</v>
      </c>
      <c r="D5850">
        <v>6870.83</v>
      </c>
    </row>
    <row r="5851" spans="1:4" x14ac:dyDescent="0.25">
      <c r="A5851" t="s">
        <v>598</v>
      </c>
      <c r="B5851" t="s">
        <v>219</v>
      </c>
      <c r="C5851" s="2">
        <f>HYPERLINK("https://svao.dolgi.msk.ru/account/1768034405/", 1768034405)</f>
        <v>1768034405</v>
      </c>
      <c r="D5851">
        <v>33667.440000000002</v>
      </c>
    </row>
    <row r="5852" spans="1:4" x14ac:dyDescent="0.25">
      <c r="A5852" t="s">
        <v>598</v>
      </c>
      <c r="B5852" t="s">
        <v>11</v>
      </c>
      <c r="C5852" s="2">
        <f>HYPERLINK("https://svao.dolgi.msk.ru/account/1768034413/", 1768034413)</f>
        <v>1768034413</v>
      </c>
      <c r="D5852">
        <v>496.37</v>
      </c>
    </row>
    <row r="5853" spans="1:4" x14ac:dyDescent="0.25">
      <c r="A5853" t="s">
        <v>598</v>
      </c>
      <c r="B5853" t="s">
        <v>13</v>
      </c>
      <c r="C5853" s="2">
        <f>HYPERLINK("https://svao.dolgi.msk.ru/account/1768034448/", 1768034448)</f>
        <v>1768034448</v>
      </c>
      <c r="D5853">
        <v>306.39999999999998</v>
      </c>
    </row>
    <row r="5854" spans="1:4" x14ac:dyDescent="0.25">
      <c r="A5854" t="s">
        <v>598</v>
      </c>
      <c r="B5854" t="s">
        <v>14</v>
      </c>
      <c r="C5854" s="2">
        <f>HYPERLINK("https://svao.dolgi.msk.ru/account/1768034456/", 1768034456)</f>
        <v>1768034456</v>
      </c>
      <c r="D5854">
        <v>189.06</v>
      </c>
    </row>
    <row r="5855" spans="1:4" x14ac:dyDescent="0.25">
      <c r="A5855" t="s">
        <v>598</v>
      </c>
      <c r="B5855" t="s">
        <v>107</v>
      </c>
      <c r="C5855" s="2">
        <f>HYPERLINK("https://svao.dolgi.msk.ru/account/1768000969/", 1768000969)</f>
        <v>1768000969</v>
      </c>
      <c r="D5855">
        <v>211.49</v>
      </c>
    </row>
    <row r="5856" spans="1:4" x14ac:dyDescent="0.25">
      <c r="A5856" t="s">
        <v>598</v>
      </c>
      <c r="B5856" t="s">
        <v>15</v>
      </c>
      <c r="C5856" s="2">
        <f>HYPERLINK("https://svao.dolgi.msk.ru/account/1768034472/", 1768034472)</f>
        <v>1768034472</v>
      </c>
      <c r="D5856">
        <v>18099.71</v>
      </c>
    </row>
    <row r="5857" spans="1:4" x14ac:dyDescent="0.25">
      <c r="A5857" t="s">
        <v>598</v>
      </c>
      <c r="B5857" t="s">
        <v>17</v>
      </c>
      <c r="C5857" s="2">
        <f>HYPERLINK("https://svao.dolgi.msk.ru/account/1768034528/", 1768034528)</f>
        <v>1768034528</v>
      </c>
      <c r="D5857">
        <v>5728.46</v>
      </c>
    </row>
    <row r="5858" spans="1:4" x14ac:dyDescent="0.25">
      <c r="A5858" t="s">
        <v>598</v>
      </c>
      <c r="B5858" t="s">
        <v>18</v>
      </c>
      <c r="C5858" s="2">
        <f>HYPERLINK("https://svao.dolgi.msk.ru/account/1768034536/", 1768034536)</f>
        <v>1768034536</v>
      </c>
      <c r="D5858">
        <v>143.82</v>
      </c>
    </row>
    <row r="5859" spans="1:4" x14ac:dyDescent="0.25">
      <c r="A5859" t="s">
        <v>598</v>
      </c>
      <c r="B5859" t="s">
        <v>110</v>
      </c>
      <c r="C5859" s="2">
        <f>HYPERLINK("https://svao.dolgi.msk.ru/account/1768034579/", 1768034579)</f>
        <v>1768034579</v>
      </c>
      <c r="D5859">
        <v>359.17</v>
      </c>
    </row>
    <row r="5860" spans="1:4" x14ac:dyDescent="0.25">
      <c r="A5860" t="s">
        <v>598</v>
      </c>
      <c r="B5860" t="s">
        <v>76</v>
      </c>
      <c r="C5860" s="2">
        <f>HYPERLINK("https://svao.dolgi.msk.ru/account/1768034595/", 1768034595)</f>
        <v>1768034595</v>
      </c>
      <c r="D5860">
        <v>9421.5</v>
      </c>
    </row>
    <row r="5861" spans="1:4" x14ac:dyDescent="0.25">
      <c r="A5861" t="s">
        <v>598</v>
      </c>
      <c r="B5861" t="s">
        <v>92</v>
      </c>
      <c r="C5861" s="2">
        <f>HYPERLINK("https://svao.dolgi.msk.ru/account/1768034608/", 1768034608)</f>
        <v>1768034608</v>
      </c>
      <c r="D5861">
        <v>4394.46</v>
      </c>
    </row>
    <row r="5862" spans="1:4" x14ac:dyDescent="0.25">
      <c r="A5862" t="s">
        <v>598</v>
      </c>
      <c r="B5862" t="s">
        <v>111</v>
      </c>
      <c r="C5862" s="2">
        <f>HYPERLINK("https://svao.dolgi.msk.ru/account/1768034624/", 1768034624)</f>
        <v>1768034624</v>
      </c>
      <c r="D5862">
        <v>961.55</v>
      </c>
    </row>
    <row r="5863" spans="1:4" x14ac:dyDescent="0.25">
      <c r="A5863" t="s">
        <v>598</v>
      </c>
      <c r="B5863" t="s">
        <v>113</v>
      </c>
      <c r="C5863" s="2">
        <f>HYPERLINK("https://svao.dolgi.msk.ru/account/1768000977/", 1768000977)</f>
        <v>1768000977</v>
      </c>
      <c r="D5863">
        <v>644.62</v>
      </c>
    </row>
    <row r="5864" spans="1:4" x14ac:dyDescent="0.25">
      <c r="A5864" t="s">
        <v>598</v>
      </c>
      <c r="B5864" t="s">
        <v>21</v>
      </c>
      <c r="C5864" s="2">
        <f>HYPERLINK("https://svao.dolgi.msk.ru/account/1768034667/", 1768034667)</f>
        <v>1768034667</v>
      </c>
      <c r="D5864">
        <v>5147.92</v>
      </c>
    </row>
    <row r="5865" spans="1:4" x14ac:dyDescent="0.25">
      <c r="A5865" t="s">
        <v>598</v>
      </c>
      <c r="B5865" t="s">
        <v>114</v>
      </c>
      <c r="C5865" s="2">
        <f>HYPERLINK("https://svao.dolgi.msk.ru/account/1768034683/", 1768034683)</f>
        <v>1768034683</v>
      </c>
      <c r="D5865">
        <v>6117.45</v>
      </c>
    </row>
    <row r="5866" spans="1:4" x14ac:dyDescent="0.25">
      <c r="A5866" t="s">
        <v>598</v>
      </c>
      <c r="B5866" t="s">
        <v>23</v>
      </c>
      <c r="C5866" s="2">
        <f>HYPERLINK("https://svao.dolgi.msk.ru/account/1768034712/", 1768034712)</f>
        <v>1768034712</v>
      </c>
      <c r="D5866">
        <v>690.93</v>
      </c>
    </row>
    <row r="5867" spans="1:4" x14ac:dyDescent="0.25">
      <c r="A5867" t="s">
        <v>598</v>
      </c>
      <c r="B5867" t="s">
        <v>124</v>
      </c>
      <c r="C5867" s="2">
        <f>HYPERLINK("https://svao.dolgi.msk.ru/account/1768001048/", 1768001048)</f>
        <v>1768001048</v>
      </c>
      <c r="D5867">
        <v>233.74</v>
      </c>
    </row>
    <row r="5868" spans="1:4" x14ac:dyDescent="0.25">
      <c r="A5868" t="s">
        <v>598</v>
      </c>
      <c r="B5868" t="s">
        <v>117</v>
      </c>
      <c r="C5868" s="2">
        <f>HYPERLINK("https://svao.dolgi.msk.ru/account/1768034739/", 1768034739)</f>
        <v>1768034739</v>
      </c>
      <c r="D5868">
        <v>847.2</v>
      </c>
    </row>
    <row r="5869" spans="1:4" x14ac:dyDescent="0.25">
      <c r="A5869" t="s">
        <v>598</v>
      </c>
      <c r="B5869" t="s">
        <v>115</v>
      </c>
      <c r="C5869" s="2">
        <f>HYPERLINK("https://svao.dolgi.msk.ru/account/1768034747/", 1768034747)</f>
        <v>1768034747</v>
      </c>
      <c r="D5869">
        <v>9868.26</v>
      </c>
    </row>
    <row r="5870" spans="1:4" x14ac:dyDescent="0.25">
      <c r="A5870" t="s">
        <v>598</v>
      </c>
      <c r="B5870" t="s">
        <v>320</v>
      </c>
      <c r="C5870" s="2">
        <f>HYPERLINK("https://svao.dolgi.msk.ru/account/1768000942/", 1768000942)</f>
        <v>1768000942</v>
      </c>
      <c r="D5870">
        <v>334.78</v>
      </c>
    </row>
    <row r="5871" spans="1:4" x14ac:dyDescent="0.25">
      <c r="A5871" t="s">
        <v>598</v>
      </c>
      <c r="B5871" t="s">
        <v>24</v>
      </c>
      <c r="C5871" s="2">
        <f>HYPERLINK("https://svao.dolgi.msk.ru/account/1768034755/", 1768034755)</f>
        <v>1768034755</v>
      </c>
      <c r="D5871">
        <v>516.13</v>
      </c>
    </row>
    <row r="5872" spans="1:4" x14ac:dyDescent="0.25">
      <c r="A5872" t="s">
        <v>598</v>
      </c>
      <c r="B5872" t="s">
        <v>95</v>
      </c>
      <c r="C5872" s="2">
        <f>HYPERLINK("https://svao.dolgi.msk.ru/account/1768034771/", 1768034771)</f>
        <v>1768034771</v>
      </c>
      <c r="D5872">
        <v>521.25</v>
      </c>
    </row>
    <row r="5873" spans="1:4" x14ac:dyDescent="0.25">
      <c r="A5873" t="s">
        <v>598</v>
      </c>
      <c r="B5873" t="s">
        <v>81</v>
      </c>
      <c r="C5873" s="2">
        <f>HYPERLINK("https://svao.dolgi.msk.ru/account/1768034843/", 1768034843)</f>
        <v>1768034843</v>
      </c>
      <c r="D5873">
        <v>910.66</v>
      </c>
    </row>
    <row r="5874" spans="1:4" x14ac:dyDescent="0.25">
      <c r="A5874" t="s">
        <v>598</v>
      </c>
      <c r="B5874" t="s">
        <v>82</v>
      </c>
      <c r="C5874" s="2">
        <f>HYPERLINK("https://svao.dolgi.msk.ru/account/1768000993/", 1768000993)</f>
        <v>1768000993</v>
      </c>
      <c r="D5874">
        <v>2100.54</v>
      </c>
    </row>
    <row r="5875" spans="1:4" x14ac:dyDescent="0.25">
      <c r="A5875" t="s">
        <v>598</v>
      </c>
      <c r="B5875" t="s">
        <v>128</v>
      </c>
      <c r="C5875" s="2">
        <f>HYPERLINK("https://svao.dolgi.msk.ru/account/1768034886/", 1768034886)</f>
        <v>1768034886</v>
      </c>
      <c r="D5875">
        <v>741.77</v>
      </c>
    </row>
    <row r="5876" spans="1:4" x14ac:dyDescent="0.25">
      <c r="A5876" t="s">
        <v>598</v>
      </c>
      <c r="B5876" t="s">
        <v>26</v>
      </c>
      <c r="C5876" s="2">
        <f>HYPERLINK("https://svao.dolgi.msk.ru/account/1768034923/", 1768034923)</f>
        <v>1768034923</v>
      </c>
      <c r="D5876">
        <v>522.74</v>
      </c>
    </row>
    <row r="5877" spans="1:4" x14ac:dyDescent="0.25">
      <c r="A5877" t="s">
        <v>598</v>
      </c>
      <c r="B5877" t="s">
        <v>96</v>
      </c>
      <c r="C5877" s="2">
        <f>HYPERLINK("https://svao.dolgi.msk.ru/account/1768034958/", 1768034958)</f>
        <v>1768034958</v>
      </c>
      <c r="D5877">
        <v>159.74</v>
      </c>
    </row>
    <row r="5878" spans="1:4" x14ac:dyDescent="0.25">
      <c r="A5878" t="s">
        <v>598</v>
      </c>
      <c r="B5878" t="s">
        <v>27</v>
      </c>
      <c r="C5878" s="2">
        <f>HYPERLINK("https://svao.dolgi.msk.ru/account/1768034966/", 1768034966)</f>
        <v>1768034966</v>
      </c>
      <c r="D5878">
        <v>674.05</v>
      </c>
    </row>
    <row r="5879" spans="1:4" x14ac:dyDescent="0.25">
      <c r="A5879" t="s">
        <v>598</v>
      </c>
      <c r="B5879" t="s">
        <v>290</v>
      </c>
      <c r="C5879" s="2">
        <f>HYPERLINK("https://svao.dolgi.msk.ru/account/1768000985/", 1768000985)</f>
        <v>1768000985</v>
      </c>
      <c r="D5879">
        <v>335.4</v>
      </c>
    </row>
    <row r="5880" spans="1:4" x14ac:dyDescent="0.25">
      <c r="A5880" t="s">
        <v>598</v>
      </c>
      <c r="B5880" t="s">
        <v>243</v>
      </c>
      <c r="C5880" s="2">
        <f>HYPERLINK("https://svao.dolgi.msk.ru/account/1768034974/", 1768034974)</f>
        <v>1768034974</v>
      </c>
      <c r="D5880">
        <v>924.59</v>
      </c>
    </row>
    <row r="5881" spans="1:4" x14ac:dyDescent="0.25">
      <c r="A5881" t="s">
        <v>598</v>
      </c>
      <c r="B5881" t="s">
        <v>134</v>
      </c>
      <c r="C5881" s="2">
        <f>HYPERLINK("https://svao.dolgi.msk.ru/account/1768034982/", 1768034982)</f>
        <v>1768034982</v>
      </c>
      <c r="D5881">
        <v>544.61</v>
      </c>
    </row>
    <row r="5882" spans="1:4" x14ac:dyDescent="0.25">
      <c r="A5882" t="s">
        <v>598</v>
      </c>
      <c r="B5882" t="s">
        <v>28</v>
      </c>
      <c r="C5882" s="2">
        <f>HYPERLINK("https://svao.dolgi.msk.ru/account/1768035029/", 1768035029)</f>
        <v>1768035029</v>
      </c>
      <c r="D5882">
        <v>12716.84</v>
      </c>
    </row>
    <row r="5883" spans="1:4" x14ac:dyDescent="0.25">
      <c r="A5883" t="s">
        <v>598</v>
      </c>
      <c r="B5883" t="s">
        <v>29</v>
      </c>
      <c r="C5883" s="2">
        <f>HYPERLINK("https://svao.dolgi.msk.ru/account/1768035037/", 1768035037)</f>
        <v>1768035037</v>
      </c>
      <c r="D5883">
        <v>24315.22</v>
      </c>
    </row>
    <row r="5884" spans="1:4" x14ac:dyDescent="0.25">
      <c r="A5884" t="s">
        <v>598</v>
      </c>
      <c r="B5884" t="s">
        <v>244</v>
      </c>
      <c r="C5884" s="2">
        <f>HYPERLINK("https://svao.dolgi.msk.ru/account/1768035045/", 1768035045)</f>
        <v>1768035045</v>
      </c>
      <c r="D5884">
        <v>1335.63</v>
      </c>
    </row>
    <row r="5885" spans="1:4" x14ac:dyDescent="0.25">
      <c r="A5885" t="s">
        <v>598</v>
      </c>
      <c r="B5885" t="s">
        <v>30</v>
      </c>
      <c r="C5885" s="2">
        <f>HYPERLINK("https://svao.dolgi.msk.ru/account/1768035061/", 1768035061)</f>
        <v>1768035061</v>
      </c>
      <c r="D5885">
        <v>1444.53</v>
      </c>
    </row>
    <row r="5886" spans="1:4" x14ac:dyDescent="0.25">
      <c r="A5886" t="s">
        <v>598</v>
      </c>
      <c r="B5886" t="s">
        <v>84</v>
      </c>
      <c r="C5886" s="2">
        <f>HYPERLINK("https://svao.dolgi.msk.ru/account/1768035096/", 1768035096)</f>
        <v>1768035096</v>
      </c>
      <c r="D5886">
        <v>541.79</v>
      </c>
    </row>
    <row r="5887" spans="1:4" x14ac:dyDescent="0.25">
      <c r="A5887" t="s">
        <v>598</v>
      </c>
      <c r="B5887" t="s">
        <v>33</v>
      </c>
      <c r="C5887" s="2">
        <f>HYPERLINK("https://svao.dolgi.msk.ru/account/1768035168/", 1768035168)</f>
        <v>1768035168</v>
      </c>
      <c r="D5887">
        <v>1086.78</v>
      </c>
    </row>
    <row r="5888" spans="1:4" x14ac:dyDescent="0.25">
      <c r="A5888" t="s">
        <v>598</v>
      </c>
      <c r="B5888" t="s">
        <v>34</v>
      </c>
      <c r="C5888" s="2">
        <f>HYPERLINK("https://svao.dolgi.msk.ru/account/1768035176/", 1768035176)</f>
        <v>1768035176</v>
      </c>
      <c r="D5888">
        <v>6537.8</v>
      </c>
    </row>
    <row r="5889" spans="1:4" x14ac:dyDescent="0.25">
      <c r="A5889" t="s">
        <v>598</v>
      </c>
      <c r="B5889" t="s">
        <v>35</v>
      </c>
      <c r="C5889" s="2">
        <f>HYPERLINK("https://svao.dolgi.msk.ru/account/1768035184/", 1768035184)</f>
        <v>1768035184</v>
      </c>
      <c r="D5889">
        <v>1493.55</v>
      </c>
    </row>
    <row r="5890" spans="1:4" x14ac:dyDescent="0.25">
      <c r="A5890" t="s">
        <v>598</v>
      </c>
      <c r="B5890" t="s">
        <v>99</v>
      </c>
      <c r="C5890" s="2">
        <f>HYPERLINK("https://svao.dolgi.msk.ru/account/1768035192/", 1768035192)</f>
        <v>1768035192</v>
      </c>
      <c r="D5890">
        <v>13081.23</v>
      </c>
    </row>
    <row r="5891" spans="1:4" x14ac:dyDescent="0.25">
      <c r="A5891" t="s">
        <v>599</v>
      </c>
      <c r="B5891" t="s">
        <v>6</v>
      </c>
      <c r="C5891" s="2">
        <f>HYPERLINK("https://svao.dolgi.msk.ru/account/1760144466/", 1760144466)</f>
        <v>1760144466</v>
      </c>
      <c r="D5891">
        <v>82106.2</v>
      </c>
    </row>
    <row r="5892" spans="1:4" x14ac:dyDescent="0.25">
      <c r="A5892" t="s">
        <v>599</v>
      </c>
      <c r="B5892" t="s">
        <v>5</v>
      </c>
      <c r="C5892" s="2">
        <f>HYPERLINK("https://svao.dolgi.msk.ru/account/1760144474/", 1760144474)</f>
        <v>1760144474</v>
      </c>
      <c r="D5892">
        <v>806.88</v>
      </c>
    </row>
    <row r="5893" spans="1:4" x14ac:dyDescent="0.25">
      <c r="A5893" t="s">
        <v>599</v>
      </c>
      <c r="B5893" t="s">
        <v>7</v>
      </c>
      <c r="C5893" s="2">
        <f>HYPERLINK("https://svao.dolgi.msk.ru/account/1760144482/", 1760144482)</f>
        <v>1760144482</v>
      </c>
      <c r="D5893">
        <v>7654.18</v>
      </c>
    </row>
    <row r="5894" spans="1:4" x14ac:dyDescent="0.25">
      <c r="A5894" t="s">
        <v>599</v>
      </c>
      <c r="B5894" t="s">
        <v>75</v>
      </c>
      <c r="C5894" s="2">
        <f>HYPERLINK("https://svao.dolgi.msk.ru/account/1760144634/", 1760144634)</f>
        <v>1760144634</v>
      </c>
      <c r="D5894">
        <v>4544.0600000000004</v>
      </c>
    </row>
    <row r="5895" spans="1:4" x14ac:dyDescent="0.25">
      <c r="A5895" t="s">
        <v>599</v>
      </c>
      <c r="B5895" t="s">
        <v>10</v>
      </c>
      <c r="C5895" s="2">
        <f>HYPERLINK("https://svao.dolgi.msk.ru/account/1760144669/", 1760144669)</f>
        <v>1760144669</v>
      </c>
      <c r="D5895">
        <v>30704.39</v>
      </c>
    </row>
    <row r="5896" spans="1:4" x14ac:dyDescent="0.25">
      <c r="A5896" t="s">
        <v>599</v>
      </c>
      <c r="B5896" t="s">
        <v>106</v>
      </c>
      <c r="C5896" s="2">
        <f>HYPERLINK("https://svao.dolgi.msk.ru/account/1760144722/", 1760144722)</f>
        <v>1760144722</v>
      </c>
      <c r="D5896">
        <v>7331.58</v>
      </c>
    </row>
    <row r="5897" spans="1:4" x14ac:dyDescent="0.25">
      <c r="A5897" t="s">
        <v>599</v>
      </c>
      <c r="B5897" t="s">
        <v>107</v>
      </c>
      <c r="C5897" s="2">
        <f>HYPERLINK("https://svao.dolgi.msk.ru/account/1760144749/", 1760144749)</f>
        <v>1760144749</v>
      </c>
      <c r="D5897">
        <v>4040.79</v>
      </c>
    </row>
    <row r="5898" spans="1:4" x14ac:dyDescent="0.25">
      <c r="A5898" t="s">
        <v>599</v>
      </c>
      <c r="B5898" t="s">
        <v>113</v>
      </c>
      <c r="C5898" s="2">
        <f>HYPERLINK("https://svao.dolgi.msk.ru/account/1760144933/", 1760144933)</f>
        <v>1760144933</v>
      </c>
      <c r="D5898">
        <v>5040.8100000000004</v>
      </c>
    </row>
    <row r="5899" spans="1:4" x14ac:dyDescent="0.25">
      <c r="A5899" t="s">
        <v>599</v>
      </c>
      <c r="B5899" t="s">
        <v>77</v>
      </c>
      <c r="C5899" s="2">
        <f>HYPERLINK("https://svao.dolgi.msk.ru/account/1760144968/", 1760144968)</f>
        <v>1760144968</v>
      </c>
      <c r="D5899">
        <v>2560.62</v>
      </c>
    </row>
    <row r="5900" spans="1:4" x14ac:dyDescent="0.25">
      <c r="A5900" t="s">
        <v>599</v>
      </c>
      <c r="B5900" t="s">
        <v>114</v>
      </c>
      <c r="C5900" s="2">
        <f>HYPERLINK("https://svao.dolgi.msk.ru/account/1760144976/", 1760144976)</f>
        <v>1760144976</v>
      </c>
      <c r="D5900">
        <v>10453.08</v>
      </c>
    </row>
    <row r="5901" spans="1:4" x14ac:dyDescent="0.25">
      <c r="A5901" t="s">
        <v>599</v>
      </c>
      <c r="B5901" t="s">
        <v>124</v>
      </c>
      <c r="C5901" s="2">
        <f>HYPERLINK("https://svao.dolgi.msk.ru/account/1760145039/", 1760145039)</f>
        <v>1760145039</v>
      </c>
      <c r="D5901">
        <v>118.91</v>
      </c>
    </row>
    <row r="5902" spans="1:4" x14ac:dyDescent="0.25">
      <c r="A5902" t="s">
        <v>599</v>
      </c>
      <c r="B5902" t="s">
        <v>242</v>
      </c>
      <c r="C5902" s="2">
        <f>HYPERLINK("https://svao.dolgi.msk.ru/account/1760145119/", 1760145119)</f>
        <v>1760145119</v>
      </c>
      <c r="D5902">
        <v>4698.55</v>
      </c>
    </row>
    <row r="5903" spans="1:4" x14ac:dyDescent="0.25">
      <c r="A5903" t="s">
        <v>599</v>
      </c>
      <c r="B5903" t="s">
        <v>95</v>
      </c>
      <c r="C5903" s="2">
        <f>HYPERLINK("https://svao.dolgi.msk.ru/account/1760145127/", 1760145127)</f>
        <v>1760145127</v>
      </c>
      <c r="D5903">
        <v>1005.44</v>
      </c>
    </row>
    <row r="5904" spans="1:4" x14ac:dyDescent="0.25">
      <c r="A5904" t="s">
        <v>599</v>
      </c>
      <c r="B5904" t="s">
        <v>131</v>
      </c>
      <c r="C5904" s="2">
        <f>HYPERLINK("https://svao.dolgi.msk.ru/account/1760145135/", 1760145135)</f>
        <v>1760145135</v>
      </c>
      <c r="D5904">
        <v>9206.0300000000007</v>
      </c>
    </row>
    <row r="5905" spans="1:4" x14ac:dyDescent="0.25">
      <c r="A5905" t="s">
        <v>599</v>
      </c>
      <c r="B5905" t="s">
        <v>126</v>
      </c>
      <c r="C5905" s="2">
        <f>HYPERLINK("https://svao.dolgi.msk.ru/account/1760145151/", 1760145151)</f>
        <v>1760145151</v>
      </c>
      <c r="D5905">
        <v>162686.43</v>
      </c>
    </row>
    <row r="5906" spans="1:4" x14ac:dyDescent="0.25">
      <c r="A5906" t="s">
        <v>599</v>
      </c>
      <c r="B5906" t="s">
        <v>81</v>
      </c>
      <c r="C5906" s="2">
        <f>HYPERLINK("https://svao.dolgi.msk.ru/account/1760145207/", 1760145207)</f>
        <v>1760145207</v>
      </c>
      <c r="D5906">
        <v>4180.78</v>
      </c>
    </row>
    <row r="5907" spans="1:4" x14ac:dyDescent="0.25">
      <c r="A5907" t="s">
        <v>599</v>
      </c>
      <c r="B5907" t="s">
        <v>120</v>
      </c>
      <c r="C5907" s="2">
        <f>HYPERLINK("https://svao.dolgi.msk.ru/account/1761793775/", 1761793775)</f>
        <v>1761793775</v>
      </c>
      <c r="D5907">
        <v>746.72</v>
      </c>
    </row>
    <row r="5908" spans="1:4" x14ac:dyDescent="0.25">
      <c r="A5908" t="s">
        <v>599</v>
      </c>
      <c r="B5908" t="s">
        <v>128</v>
      </c>
      <c r="C5908" s="2">
        <f>HYPERLINK("https://svao.dolgi.msk.ru/account/1760145258/", 1760145258)</f>
        <v>1760145258</v>
      </c>
      <c r="D5908">
        <v>5866.83</v>
      </c>
    </row>
    <row r="5909" spans="1:4" x14ac:dyDescent="0.25">
      <c r="A5909" t="s">
        <v>599</v>
      </c>
      <c r="B5909" t="s">
        <v>83</v>
      </c>
      <c r="C5909" s="2">
        <f>HYPERLINK("https://svao.dolgi.msk.ru/account/1760145274/", 1760145274)</f>
        <v>1760145274</v>
      </c>
      <c r="D5909">
        <v>6650.85</v>
      </c>
    </row>
    <row r="5910" spans="1:4" x14ac:dyDescent="0.25">
      <c r="A5910" t="s">
        <v>599</v>
      </c>
      <c r="B5910" t="s">
        <v>132</v>
      </c>
      <c r="C5910" s="2">
        <f>HYPERLINK("https://svao.dolgi.msk.ru/account/1760145282/", 1760145282)</f>
        <v>1760145282</v>
      </c>
      <c r="D5910">
        <v>3375.21</v>
      </c>
    </row>
    <row r="5911" spans="1:4" x14ac:dyDescent="0.25">
      <c r="A5911" t="s">
        <v>599</v>
      </c>
      <c r="B5911" t="s">
        <v>27</v>
      </c>
      <c r="C5911" s="2">
        <f>HYPERLINK("https://svao.dolgi.msk.ru/account/1760145346/", 1760145346)</f>
        <v>1760145346</v>
      </c>
      <c r="D5911">
        <v>1386.88</v>
      </c>
    </row>
    <row r="5912" spans="1:4" x14ac:dyDescent="0.25">
      <c r="A5912" t="s">
        <v>599</v>
      </c>
      <c r="B5912" t="s">
        <v>291</v>
      </c>
      <c r="C5912" s="2">
        <f>HYPERLINK("https://svao.dolgi.msk.ru/account/1760145522/", 1760145522)</f>
        <v>1760145522</v>
      </c>
      <c r="D5912">
        <v>5684.27</v>
      </c>
    </row>
    <row r="5913" spans="1:4" x14ac:dyDescent="0.25">
      <c r="A5913" t="s">
        <v>599</v>
      </c>
      <c r="B5913" t="s">
        <v>333</v>
      </c>
      <c r="C5913" s="2">
        <f>HYPERLINK("https://svao.dolgi.msk.ru/account/1760145653/", 1760145653)</f>
        <v>1760145653</v>
      </c>
      <c r="D5913">
        <v>5903.49</v>
      </c>
    </row>
    <row r="5914" spans="1:4" x14ac:dyDescent="0.25">
      <c r="A5914" t="s">
        <v>600</v>
      </c>
      <c r="B5914" t="s">
        <v>101</v>
      </c>
      <c r="C5914" s="2">
        <f>HYPERLINK("https://svao.dolgi.msk.ru/account/1760162904/", 1760162904)</f>
        <v>1760162904</v>
      </c>
      <c r="D5914">
        <v>802.13</v>
      </c>
    </row>
    <row r="5915" spans="1:4" x14ac:dyDescent="0.25">
      <c r="A5915" t="s">
        <v>600</v>
      </c>
      <c r="B5915" t="s">
        <v>104</v>
      </c>
      <c r="C5915" s="2">
        <f>HYPERLINK("https://svao.dolgi.msk.ru/account/1760162963/", 1760162963)</f>
        <v>1760162963</v>
      </c>
      <c r="D5915">
        <v>2174.21</v>
      </c>
    </row>
    <row r="5916" spans="1:4" x14ac:dyDescent="0.25">
      <c r="A5916" t="s">
        <v>600</v>
      </c>
      <c r="B5916" t="s">
        <v>137</v>
      </c>
      <c r="C5916" s="2">
        <f>HYPERLINK("https://svao.dolgi.msk.ru/account/1760163018/", 1760163018)</f>
        <v>1760163018</v>
      </c>
      <c r="D5916">
        <v>8286.14</v>
      </c>
    </row>
    <row r="5917" spans="1:4" x14ac:dyDescent="0.25">
      <c r="A5917" t="s">
        <v>600</v>
      </c>
      <c r="B5917" t="s">
        <v>10</v>
      </c>
      <c r="C5917" s="2">
        <f>HYPERLINK("https://svao.dolgi.msk.ru/account/1760163069/", 1760163069)</f>
        <v>1760163069</v>
      </c>
      <c r="D5917">
        <v>3617.68</v>
      </c>
    </row>
    <row r="5918" spans="1:4" x14ac:dyDescent="0.25">
      <c r="A5918" t="s">
        <v>600</v>
      </c>
      <c r="B5918" t="s">
        <v>11</v>
      </c>
      <c r="C5918" s="2">
        <f>HYPERLINK("https://svao.dolgi.msk.ru/account/1760163085/", 1760163085)</f>
        <v>1760163085</v>
      </c>
      <c r="D5918">
        <v>4505.57</v>
      </c>
    </row>
    <row r="5919" spans="1:4" x14ac:dyDescent="0.25">
      <c r="A5919" t="s">
        <v>600</v>
      </c>
      <c r="B5919" t="s">
        <v>13</v>
      </c>
      <c r="C5919" s="2">
        <f>HYPERLINK("https://svao.dolgi.msk.ru/account/1760163106/", 1760163106)</f>
        <v>1760163106</v>
      </c>
      <c r="D5919">
        <v>5257.53</v>
      </c>
    </row>
    <row r="5920" spans="1:4" x14ac:dyDescent="0.25">
      <c r="A5920" t="s">
        <v>600</v>
      </c>
      <c r="B5920" t="s">
        <v>14</v>
      </c>
      <c r="C5920" s="2">
        <f>HYPERLINK("https://svao.dolgi.msk.ru/account/1760163114/", 1760163114)</f>
        <v>1760163114</v>
      </c>
      <c r="D5920">
        <v>5349.12</v>
      </c>
    </row>
    <row r="5921" spans="1:4" x14ac:dyDescent="0.25">
      <c r="A5921" t="s">
        <v>600</v>
      </c>
      <c r="B5921" t="s">
        <v>106</v>
      </c>
      <c r="C5921" s="2">
        <f>HYPERLINK("https://svao.dolgi.msk.ru/account/1760163122/", 1760163122)</f>
        <v>1760163122</v>
      </c>
      <c r="D5921">
        <v>2455.09</v>
      </c>
    </row>
    <row r="5922" spans="1:4" x14ac:dyDescent="0.25">
      <c r="A5922" t="s">
        <v>600</v>
      </c>
      <c r="B5922" t="s">
        <v>107</v>
      </c>
      <c r="C5922" s="2">
        <f>HYPERLINK("https://svao.dolgi.msk.ru/account/1760163149/", 1760163149)</f>
        <v>1760163149</v>
      </c>
      <c r="D5922">
        <v>6267.96</v>
      </c>
    </row>
    <row r="5923" spans="1:4" x14ac:dyDescent="0.25">
      <c r="A5923" t="s">
        <v>600</v>
      </c>
      <c r="B5923" t="s">
        <v>109</v>
      </c>
      <c r="C5923" s="2">
        <f>HYPERLINK("https://svao.dolgi.msk.ru/account/1760163237/", 1760163237)</f>
        <v>1760163237</v>
      </c>
      <c r="D5923">
        <v>5535.18</v>
      </c>
    </row>
    <row r="5924" spans="1:4" x14ac:dyDescent="0.25">
      <c r="A5924" t="s">
        <v>600</v>
      </c>
      <c r="B5924" t="s">
        <v>110</v>
      </c>
      <c r="C5924" s="2">
        <f>HYPERLINK("https://svao.dolgi.msk.ru/account/1760163245/", 1760163245)</f>
        <v>1760163245</v>
      </c>
      <c r="D5924">
        <v>3123.93</v>
      </c>
    </row>
    <row r="5925" spans="1:4" x14ac:dyDescent="0.25">
      <c r="A5925" t="s">
        <v>600</v>
      </c>
      <c r="B5925" t="s">
        <v>20</v>
      </c>
      <c r="C5925" s="2">
        <f>HYPERLINK("https://svao.dolgi.msk.ru/account/1760163253/", 1760163253)</f>
        <v>1760163253</v>
      </c>
      <c r="D5925">
        <v>3449.43</v>
      </c>
    </row>
    <row r="5926" spans="1:4" x14ac:dyDescent="0.25">
      <c r="A5926" t="s">
        <v>600</v>
      </c>
      <c r="B5926" t="s">
        <v>76</v>
      </c>
      <c r="C5926" s="2">
        <f>HYPERLINK("https://svao.dolgi.msk.ru/account/1760163261/", 1760163261)</f>
        <v>1760163261</v>
      </c>
      <c r="D5926">
        <v>7217.07</v>
      </c>
    </row>
    <row r="5927" spans="1:4" x14ac:dyDescent="0.25">
      <c r="A5927" t="s">
        <v>600</v>
      </c>
      <c r="B5927" t="s">
        <v>112</v>
      </c>
      <c r="C5927" s="2">
        <f>HYPERLINK("https://svao.dolgi.msk.ru/account/1760163325/", 1760163325)</f>
        <v>1760163325</v>
      </c>
      <c r="D5927">
        <v>4043.16</v>
      </c>
    </row>
    <row r="5928" spans="1:4" x14ac:dyDescent="0.25">
      <c r="A5928" t="s">
        <v>600</v>
      </c>
      <c r="B5928" t="s">
        <v>114</v>
      </c>
      <c r="C5928" s="2">
        <f>HYPERLINK("https://svao.dolgi.msk.ru/account/1760163376/", 1760163376)</f>
        <v>1760163376</v>
      </c>
      <c r="D5928">
        <v>331.79</v>
      </c>
    </row>
    <row r="5929" spans="1:4" x14ac:dyDescent="0.25">
      <c r="A5929" t="s">
        <v>600</v>
      </c>
      <c r="B5929" t="s">
        <v>78</v>
      </c>
      <c r="C5929" s="2">
        <f>HYPERLINK("https://svao.dolgi.msk.ru/account/1760163384/", 1760163384)</f>
        <v>1760163384</v>
      </c>
      <c r="D5929">
        <v>5712.52</v>
      </c>
    </row>
    <row r="5930" spans="1:4" x14ac:dyDescent="0.25">
      <c r="A5930" t="s">
        <v>600</v>
      </c>
      <c r="B5930" t="s">
        <v>115</v>
      </c>
      <c r="C5930" s="2">
        <f>HYPERLINK("https://svao.dolgi.msk.ru/account/1760163456/", 1760163456)</f>
        <v>1760163456</v>
      </c>
      <c r="D5930">
        <v>178.54</v>
      </c>
    </row>
    <row r="5931" spans="1:4" x14ac:dyDescent="0.25">
      <c r="A5931" t="s">
        <v>600</v>
      </c>
      <c r="B5931" t="s">
        <v>320</v>
      </c>
      <c r="C5931" s="2">
        <f>HYPERLINK("https://svao.dolgi.msk.ru/account/1760163464/", 1760163464)</f>
        <v>1760163464</v>
      </c>
      <c r="D5931">
        <v>5476.34</v>
      </c>
    </row>
    <row r="5932" spans="1:4" x14ac:dyDescent="0.25">
      <c r="A5932" t="s">
        <v>600</v>
      </c>
      <c r="B5932" t="s">
        <v>314</v>
      </c>
      <c r="C5932" s="2">
        <f>HYPERLINK("https://svao.dolgi.msk.ru/account/1760163499/", 1760163499)</f>
        <v>1760163499</v>
      </c>
      <c r="D5932">
        <v>3420.12</v>
      </c>
    </row>
    <row r="5933" spans="1:4" x14ac:dyDescent="0.25">
      <c r="A5933" t="s">
        <v>600</v>
      </c>
      <c r="B5933" t="s">
        <v>80</v>
      </c>
      <c r="C5933" s="2">
        <f>HYPERLINK("https://svao.dolgi.msk.ru/account/1760163579/", 1760163579)</f>
        <v>1760163579</v>
      </c>
      <c r="D5933">
        <v>3008.09</v>
      </c>
    </row>
    <row r="5934" spans="1:4" x14ac:dyDescent="0.25">
      <c r="A5934" t="s">
        <v>600</v>
      </c>
      <c r="B5934" t="s">
        <v>118</v>
      </c>
      <c r="C5934" s="2">
        <f>HYPERLINK("https://svao.dolgi.msk.ru/account/1760163587/", 1760163587)</f>
        <v>1760163587</v>
      </c>
      <c r="D5934">
        <v>3558.81</v>
      </c>
    </row>
    <row r="5935" spans="1:4" x14ac:dyDescent="0.25">
      <c r="A5935" t="s">
        <v>600</v>
      </c>
      <c r="B5935" t="s">
        <v>81</v>
      </c>
      <c r="C5935" s="2">
        <f>HYPERLINK("https://svao.dolgi.msk.ru/account/1760163608/", 1760163608)</f>
        <v>1760163608</v>
      </c>
      <c r="D5935">
        <v>6842.55</v>
      </c>
    </row>
    <row r="5936" spans="1:4" x14ac:dyDescent="0.25">
      <c r="A5936" t="s">
        <v>600</v>
      </c>
      <c r="B5936" t="s">
        <v>120</v>
      </c>
      <c r="C5936" s="2">
        <f>HYPERLINK("https://svao.dolgi.msk.ru/account/1760163624/", 1760163624)</f>
        <v>1760163624</v>
      </c>
      <c r="D5936">
        <v>3524.18</v>
      </c>
    </row>
    <row r="5937" spans="1:4" x14ac:dyDescent="0.25">
      <c r="A5937" t="s">
        <v>600</v>
      </c>
      <c r="B5937" t="s">
        <v>82</v>
      </c>
      <c r="C5937" s="2">
        <f>HYPERLINK("https://svao.dolgi.msk.ru/account/1760163632/", 1760163632)</f>
        <v>1760163632</v>
      </c>
      <c r="D5937">
        <v>7100.9</v>
      </c>
    </row>
    <row r="5938" spans="1:4" x14ac:dyDescent="0.25">
      <c r="A5938" t="s">
        <v>600</v>
      </c>
      <c r="B5938" t="s">
        <v>25</v>
      </c>
      <c r="C5938" s="2">
        <f>HYPERLINK("https://svao.dolgi.msk.ru/account/1760163667/", 1760163667)</f>
        <v>1760163667</v>
      </c>
      <c r="D5938">
        <v>5224.88</v>
      </c>
    </row>
    <row r="5939" spans="1:4" x14ac:dyDescent="0.25">
      <c r="A5939" t="s">
        <v>600</v>
      </c>
      <c r="B5939" t="s">
        <v>83</v>
      </c>
      <c r="C5939" s="2">
        <f>HYPERLINK("https://svao.dolgi.msk.ru/account/1760163675/", 1760163675)</f>
        <v>1760163675</v>
      </c>
      <c r="D5939">
        <v>5537.34</v>
      </c>
    </row>
    <row r="5940" spans="1:4" x14ac:dyDescent="0.25">
      <c r="A5940" t="s">
        <v>600</v>
      </c>
      <c r="B5940" t="s">
        <v>133</v>
      </c>
      <c r="C5940" s="2">
        <f>HYPERLINK("https://svao.dolgi.msk.ru/account/1760163704/", 1760163704)</f>
        <v>1760163704</v>
      </c>
      <c r="D5940">
        <v>4729.13</v>
      </c>
    </row>
    <row r="5941" spans="1:4" x14ac:dyDescent="0.25">
      <c r="A5941" t="s">
        <v>600</v>
      </c>
      <c r="B5941" t="s">
        <v>96</v>
      </c>
      <c r="C5941" s="2">
        <f>HYPERLINK("https://svao.dolgi.msk.ru/account/1760163712/", 1760163712)</f>
        <v>1760163712</v>
      </c>
      <c r="D5941">
        <v>1255.49</v>
      </c>
    </row>
    <row r="5942" spans="1:4" x14ac:dyDescent="0.25">
      <c r="A5942" t="s">
        <v>600</v>
      </c>
      <c r="B5942" t="s">
        <v>243</v>
      </c>
      <c r="C5942" s="2">
        <f>HYPERLINK("https://svao.dolgi.msk.ru/account/1760163755/", 1760163755)</f>
        <v>1760163755</v>
      </c>
      <c r="D5942">
        <v>4355.28</v>
      </c>
    </row>
    <row r="5943" spans="1:4" x14ac:dyDescent="0.25">
      <c r="A5943" t="s">
        <v>600</v>
      </c>
      <c r="B5943" t="s">
        <v>134</v>
      </c>
      <c r="C5943" s="2">
        <f>HYPERLINK("https://svao.dolgi.msk.ru/account/1761790339/", 1761790339)</f>
        <v>1761790339</v>
      </c>
      <c r="D5943">
        <v>2596.71</v>
      </c>
    </row>
    <row r="5944" spans="1:4" x14ac:dyDescent="0.25">
      <c r="A5944" t="s">
        <v>600</v>
      </c>
      <c r="B5944" t="s">
        <v>139</v>
      </c>
      <c r="C5944" s="2">
        <f>HYPERLINK("https://svao.dolgi.msk.ru/account/1760163798/", 1760163798)</f>
        <v>1760163798</v>
      </c>
      <c r="D5944">
        <v>21073.37</v>
      </c>
    </row>
    <row r="5945" spans="1:4" x14ac:dyDescent="0.25">
      <c r="A5945" t="s">
        <v>600</v>
      </c>
      <c r="B5945" t="s">
        <v>32</v>
      </c>
      <c r="C5945" s="2">
        <f>HYPERLINK("https://svao.dolgi.msk.ru/account/1760163931/", 1760163931)</f>
        <v>1760163931</v>
      </c>
      <c r="D5945">
        <v>3045.15</v>
      </c>
    </row>
    <row r="5946" spans="1:4" x14ac:dyDescent="0.25">
      <c r="A5946" t="s">
        <v>600</v>
      </c>
      <c r="B5946" t="s">
        <v>34</v>
      </c>
      <c r="C5946" s="2">
        <f>HYPERLINK("https://svao.dolgi.msk.ru/account/1760163974/", 1760163974)</f>
        <v>1760163974</v>
      </c>
      <c r="D5946">
        <v>5597.53</v>
      </c>
    </row>
    <row r="5947" spans="1:4" x14ac:dyDescent="0.25">
      <c r="A5947" t="s">
        <v>600</v>
      </c>
      <c r="B5947" t="s">
        <v>35</v>
      </c>
      <c r="C5947" s="2">
        <f>HYPERLINK("https://svao.dolgi.msk.ru/account/1760163982/", 1760163982)</f>
        <v>1760163982</v>
      </c>
      <c r="D5947">
        <v>7536.16</v>
      </c>
    </row>
    <row r="5948" spans="1:4" x14ac:dyDescent="0.25">
      <c r="A5948" t="s">
        <v>600</v>
      </c>
      <c r="B5948" t="s">
        <v>99</v>
      </c>
      <c r="C5948" s="2">
        <f>HYPERLINK("https://svao.dolgi.msk.ru/account/1760164002/", 1760164002)</f>
        <v>1760164002</v>
      </c>
      <c r="D5948">
        <v>201.77</v>
      </c>
    </row>
    <row r="5949" spans="1:4" x14ac:dyDescent="0.25">
      <c r="A5949" t="s">
        <v>600</v>
      </c>
      <c r="B5949" t="s">
        <v>135</v>
      </c>
      <c r="C5949" s="2">
        <f>HYPERLINK("https://svao.dolgi.msk.ru/account/1760164029/", 1760164029)</f>
        <v>1760164029</v>
      </c>
      <c r="D5949">
        <v>14703.58</v>
      </c>
    </row>
    <row r="5950" spans="1:4" x14ac:dyDescent="0.25">
      <c r="A5950" t="s">
        <v>600</v>
      </c>
      <c r="B5950" t="s">
        <v>87</v>
      </c>
      <c r="C5950" s="2">
        <f>HYPERLINK("https://svao.dolgi.msk.ru/account/1761768254/", 1761768254)</f>
        <v>1761768254</v>
      </c>
      <c r="D5950">
        <v>4155.99</v>
      </c>
    </row>
    <row r="5951" spans="1:4" x14ac:dyDescent="0.25">
      <c r="A5951" t="s">
        <v>600</v>
      </c>
      <c r="B5951" t="s">
        <v>246</v>
      </c>
      <c r="C5951" s="2">
        <f>HYPERLINK("https://svao.dolgi.msk.ru/account/1760164125/", 1760164125)</f>
        <v>1760164125</v>
      </c>
      <c r="D5951">
        <v>4882.1400000000003</v>
      </c>
    </row>
    <row r="5952" spans="1:4" x14ac:dyDescent="0.25">
      <c r="A5952" t="s">
        <v>601</v>
      </c>
      <c r="B5952" t="s">
        <v>7</v>
      </c>
      <c r="C5952" s="2">
        <f>HYPERLINK("https://svao.dolgi.msk.ru/account/1760164221/", 1760164221)</f>
        <v>1760164221</v>
      </c>
      <c r="D5952">
        <v>461.5</v>
      </c>
    </row>
    <row r="5953" spans="1:4" x14ac:dyDescent="0.25">
      <c r="A5953" t="s">
        <v>601</v>
      </c>
      <c r="B5953" t="s">
        <v>101</v>
      </c>
      <c r="C5953" s="2">
        <f>HYPERLINK("https://svao.dolgi.msk.ru/account/1760164248/", 1760164248)</f>
        <v>1760164248</v>
      </c>
      <c r="D5953">
        <v>5789.04</v>
      </c>
    </row>
    <row r="5954" spans="1:4" x14ac:dyDescent="0.25">
      <c r="A5954" t="s">
        <v>601</v>
      </c>
      <c r="B5954" t="s">
        <v>102</v>
      </c>
      <c r="C5954" s="2">
        <f>HYPERLINK("https://svao.dolgi.msk.ru/account/1760164264/", 1760164264)</f>
        <v>1760164264</v>
      </c>
      <c r="D5954">
        <v>379.84</v>
      </c>
    </row>
    <row r="5955" spans="1:4" x14ac:dyDescent="0.25">
      <c r="A5955" t="s">
        <v>601</v>
      </c>
      <c r="B5955" t="s">
        <v>102</v>
      </c>
      <c r="C5955" s="2">
        <f>HYPERLINK("https://svao.dolgi.msk.ru/account/1760164272/", 1760164272)</f>
        <v>1760164272</v>
      </c>
      <c r="D5955">
        <v>7844.47</v>
      </c>
    </row>
    <row r="5956" spans="1:4" x14ac:dyDescent="0.25">
      <c r="A5956" t="s">
        <v>601</v>
      </c>
      <c r="B5956" t="s">
        <v>103</v>
      </c>
      <c r="C5956" s="2">
        <f>HYPERLINK("https://svao.dolgi.msk.ru/account/1760164299/", 1760164299)</f>
        <v>1760164299</v>
      </c>
      <c r="D5956">
        <v>7286.17</v>
      </c>
    </row>
    <row r="5957" spans="1:4" x14ac:dyDescent="0.25">
      <c r="A5957" t="s">
        <v>601</v>
      </c>
      <c r="B5957" t="s">
        <v>74</v>
      </c>
      <c r="C5957" s="2">
        <f>HYPERLINK("https://svao.dolgi.msk.ru/account/1760164344/", 1760164344)</f>
        <v>1760164344</v>
      </c>
      <c r="D5957">
        <v>147194.49</v>
      </c>
    </row>
    <row r="5958" spans="1:4" x14ac:dyDescent="0.25">
      <c r="A5958" t="s">
        <v>602</v>
      </c>
      <c r="B5958" t="s">
        <v>7</v>
      </c>
      <c r="C5958" s="2">
        <f>HYPERLINK("https://svao.dolgi.msk.ru/account/1760164432/", 1760164432)</f>
        <v>1760164432</v>
      </c>
      <c r="D5958">
        <v>3894.65</v>
      </c>
    </row>
    <row r="5959" spans="1:4" x14ac:dyDescent="0.25">
      <c r="A5959" t="s">
        <v>602</v>
      </c>
      <c r="B5959" t="s">
        <v>101</v>
      </c>
      <c r="C5959" s="2">
        <f>HYPERLINK("https://svao.dolgi.msk.ru/account/1760164467/", 1760164467)</f>
        <v>1760164467</v>
      </c>
      <c r="D5959">
        <v>4395.84</v>
      </c>
    </row>
    <row r="5960" spans="1:4" x14ac:dyDescent="0.25">
      <c r="A5960" t="s">
        <v>602</v>
      </c>
      <c r="B5960" t="s">
        <v>103</v>
      </c>
      <c r="C5960" s="2">
        <f>HYPERLINK("https://svao.dolgi.msk.ru/account/1760164491/", 1760164491)</f>
        <v>1760164491</v>
      </c>
      <c r="D5960">
        <v>2205.88</v>
      </c>
    </row>
    <row r="5961" spans="1:4" x14ac:dyDescent="0.25">
      <c r="A5961" t="s">
        <v>602</v>
      </c>
      <c r="B5961" t="s">
        <v>91</v>
      </c>
      <c r="C5961" s="2">
        <f>HYPERLINK("https://svao.dolgi.msk.ru/account/1760164635/", 1760164635)</f>
        <v>1760164635</v>
      </c>
      <c r="D5961">
        <v>6165.4</v>
      </c>
    </row>
    <row r="5962" spans="1:4" x14ac:dyDescent="0.25">
      <c r="A5962" t="s">
        <v>602</v>
      </c>
      <c r="B5962" t="s">
        <v>10</v>
      </c>
      <c r="C5962" s="2">
        <f>HYPERLINK("https://svao.dolgi.msk.ru/account/1760164643/", 1760164643)</f>
        <v>1760164643</v>
      </c>
      <c r="D5962">
        <v>4127.1499999999996</v>
      </c>
    </row>
    <row r="5963" spans="1:4" x14ac:dyDescent="0.25">
      <c r="A5963" t="s">
        <v>602</v>
      </c>
      <c r="B5963" t="s">
        <v>14</v>
      </c>
      <c r="C5963" s="2">
        <f>HYPERLINK("https://svao.dolgi.msk.ru/account/1760164707/", 1760164707)</f>
        <v>1760164707</v>
      </c>
      <c r="D5963">
        <v>3179.52</v>
      </c>
    </row>
    <row r="5964" spans="1:4" x14ac:dyDescent="0.25">
      <c r="A5964" t="s">
        <v>602</v>
      </c>
      <c r="B5964" t="s">
        <v>110</v>
      </c>
      <c r="C5964" s="2">
        <f>HYPERLINK("https://svao.dolgi.msk.ru/account/1760164862/", 1760164862)</f>
        <v>1760164862</v>
      </c>
      <c r="D5964">
        <v>3743.88</v>
      </c>
    </row>
    <row r="5965" spans="1:4" x14ac:dyDescent="0.25">
      <c r="A5965" t="s">
        <v>602</v>
      </c>
      <c r="B5965" t="s">
        <v>93</v>
      </c>
      <c r="C5965" s="2">
        <f>HYPERLINK("https://svao.dolgi.msk.ru/account/1760164926/", 1760164926)</f>
        <v>1760164926</v>
      </c>
      <c r="D5965">
        <v>2061.7600000000002</v>
      </c>
    </row>
    <row r="5966" spans="1:4" x14ac:dyDescent="0.25">
      <c r="A5966" t="s">
        <v>602</v>
      </c>
      <c r="B5966" t="s">
        <v>93</v>
      </c>
      <c r="C5966" s="2">
        <f>HYPERLINK("https://svao.dolgi.msk.ru/account/1761793716/", 1761793716)</f>
        <v>1761793716</v>
      </c>
      <c r="D5966">
        <v>4122.2700000000004</v>
      </c>
    </row>
    <row r="5967" spans="1:4" x14ac:dyDescent="0.25">
      <c r="A5967" t="s">
        <v>603</v>
      </c>
      <c r="B5967" t="s">
        <v>5</v>
      </c>
      <c r="C5967" s="2">
        <f>HYPERLINK("https://svao.dolgi.msk.ru/account/1760164969/", 1760164969)</f>
        <v>1760164969</v>
      </c>
      <c r="D5967">
        <v>5840.65</v>
      </c>
    </row>
    <row r="5968" spans="1:4" x14ac:dyDescent="0.25">
      <c r="A5968" t="s">
        <v>603</v>
      </c>
      <c r="B5968" t="s">
        <v>102</v>
      </c>
      <c r="C5968" s="2">
        <f>HYPERLINK("https://svao.dolgi.msk.ru/account/1760165005/", 1760165005)</f>
        <v>1760165005</v>
      </c>
      <c r="D5968">
        <v>4095.04</v>
      </c>
    </row>
    <row r="5969" spans="1:4" x14ac:dyDescent="0.25">
      <c r="A5969" t="s">
        <v>603</v>
      </c>
      <c r="B5969" t="s">
        <v>219</v>
      </c>
      <c r="C5969" s="2">
        <f>HYPERLINK("https://svao.dolgi.msk.ru/account/1760165144/", 1760165144)</f>
        <v>1760165144</v>
      </c>
      <c r="D5969">
        <v>4441.6899999999996</v>
      </c>
    </row>
    <row r="5970" spans="1:4" x14ac:dyDescent="0.25">
      <c r="A5970" t="s">
        <v>603</v>
      </c>
      <c r="B5970" t="s">
        <v>13</v>
      </c>
      <c r="C5970" s="2">
        <f>HYPERLINK("https://svao.dolgi.msk.ru/account/1760165187/", 1760165187)</f>
        <v>1760165187</v>
      </c>
      <c r="D5970">
        <v>9070.01</v>
      </c>
    </row>
    <row r="5971" spans="1:4" x14ac:dyDescent="0.25">
      <c r="A5971" t="s">
        <v>603</v>
      </c>
      <c r="B5971" t="s">
        <v>15</v>
      </c>
      <c r="C5971" s="2">
        <f>HYPERLINK("https://svao.dolgi.msk.ru/account/1760165224/", 1760165224)</f>
        <v>1760165224</v>
      </c>
      <c r="D5971">
        <v>1489.83</v>
      </c>
    </row>
    <row r="5972" spans="1:4" x14ac:dyDescent="0.25">
      <c r="A5972" t="s">
        <v>603</v>
      </c>
      <c r="B5972" t="s">
        <v>110</v>
      </c>
      <c r="C5972" s="2">
        <f>HYPERLINK("https://svao.dolgi.msk.ru/account/1760165304/", 1760165304)</f>
        <v>1760165304</v>
      </c>
      <c r="D5972">
        <v>4822.24</v>
      </c>
    </row>
    <row r="5973" spans="1:4" x14ac:dyDescent="0.25">
      <c r="A5973" t="s">
        <v>603</v>
      </c>
      <c r="B5973" t="s">
        <v>92</v>
      </c>
      <c r="C5973" s="2">
        <f>HYPERLINK("https://svao.dolgi.msk.ru/account/1760165347/", 1760165347)</f>
        <v>1760165347</v>
      </c>
      <c r="D5973">
        <v>1125.54</v>
      </c>
    </row>
    <row r="5974" spans="1:4" x14ac:dyDescent="0.25">
      <c r="A5974" t="s">
        <v>603</v>
      </c>
      <c r="B5974" t="s">
        <v>93</v>
      </c>
      <c r="C5974" s="2">
        <f>HYPERLINK("https://svao.dolgi.msk.ru/account/1760165355/", 1760165355)</f>
        <v>1760165355</v>
      </c>
      <c r="D5974">
        <v>4167.03</v>
      </c>
    </row>
    <row r="5975" spans="1:4" x14ac:dyDescent="0.25">
      <c r="A5975" t="s">
        <v>603</v>
      </c>
      <c r="B5975" t="s">
        <v>113</v>
      </c>
      <c r="C5975" s="2">
        <f>HYPERLINK("https://svao.dolgi.msk.ru/account/1760165419/", 1760165419)</f>
        <v>1760165419</v>
      </c>
      <c r="D5975">
        <v>215.44</v>
      </c>
    </row>
    <row r="5976" spans="1:4" x14ac:dyDescent="0.25">
      <c r="A5976" t="s">
        <v>603</v>
      </c>
      <c r="B5976" t="s">
        <v>80</v>
      </c>
      <c r="C5976" s="2">
        <f>HYPERLINK("https://svao.dolgi.msk.ru/account/1760165646/", 1760165646)</f>
        <v>1760165646</v>
      </c>
      <c r="D5976">
        <v>4941.43</v>
      </c>
    </row>
    <row r="5977" spans="1:4" x14ac:dyDescent="0.25">
      <c r="A5977" t="s">
        <v>603</v>
      </c>
      <c r="B5977" t="s">
        <v>118</v>
      </c>
      <c r="C5977" s="2">
        <f>HYPERLINK("https://svao.dolgi.msk.ru/account/1760165654/", 1760165654)</f>
        <v>1760165654</v>
      </c>
      <c r="D5977">
        <v>14248.03</v>
      </c>
    </row>
    <row r="5978" spans="1:4" x14ac:dyDescent="0.25">
      <c r="A5978" t="s">
        <v>603</v>
      </c>
      <c r="B5978" t="s">
        <v>127</v>
      </c>
      <c r="C5978" s="2">
        <f>HYPERLINK("https://svao.dolgi.msk.ru/account/1760165662/", 1760165662)</f>
        <v>1760165662</v>
      </c>
      <c r="D5978">
        <v>10417.08</v>
      </c>
    </row>
    <row r="5979" spans="1:4" x14ac:dyDescent="0.25">
      <c r="A5979" t="s">
        <v>603</v>
      </c>
      <c r="B5979" t="s">
        <v>81</v>
      </c>
      <c r="C5979" s="2">
        <f>HYPERLINK("https://svao.dolgi.msk.ru/account/1760165689/", 1760165689)</f>
        <v>1760165689</v>
      </c>
      <c r="D5979">
        <v>3906.71</v>
      </c>
    </row>
    <row r="5980" spans="1:4" x14ac:dyDescent="0.25">
      <c r="A5980" t="s">
        <v>603</v>
      </c>
      <c r="B5980" t="s">
        <v>133</v>
      </c>
      <c r="C5980" s="2">
        <f>HYPERLINK("https://svao.dolgi.msk.ru/account/1760165793/", 1760165793)</f>
        <v>1760165793</v>
      </c>
      <c r="D5980">
        <v>6551.44</v>
      </c>
    </row>
    <row r="5981" spans="1:4" x14ac:dyDescent="0.25">
      <c r="A5981" t="s">
        <v>603</v>
      </c>
      <c r="B5981" t="s">
        <v>27</v>
      </c>
      <c r="C5981" s="2">
        <f>HYPERLINK("https://svao.dolgi.msk.ru/account/1760166307/", 1760166307)</f>
        <v>1760166307</v>
      </c>
      <c r="D5981">
        <v>3851.69</v>
      </c>
    </row>
    <row r="5982" spans="1:4" x14ac:dyDescent="0.25">
      <c r="A5982" t="s">
        <v>603</v>
      </c>
      <c r="B5982" t="s">
        <v>290</v>
      </c>
      <c r="C5982" s="2">
        <f>HYPERLINK("https://svao.dolgi.msk.ru/account/1760165814/", 1760165814)</f>
        <v>1760165814</v>
      </c>
      <c r="D5982">
        <v>2866.88</v>
      </c>
    </row>
    <row r="5983" spans="1:4" x14ac:dyDescent="0.25">
      <c r="A5983" t="s">
        <v>603</v>
      </c>
      <c r="B5983" t="s">
        <v>244</v>
      </c>
      <c r="C5983" s="2">
        <f>HYPERLINK("https://svao.dolgi.msk.ru/account/1760165929/", 1760165929)</f>
        <v>1760165929</v>
      </c>
      <c r="D5983">
        <v>9291.0499999999993</v>
      </c>
    </row>
    <row r="5984" spans="1:4" x14ac:dyDescent="0.25">
      <c r="A5984" t="s">
        <v>603</v>
      </c>
      <c r="B5984" t="s">
        <v>97</v>
      </c>
      <c r="C5984" s="2">
        <f>HYPERLINK("https://svao.dolgi.msk.ru/account/1760165953/", 1760165953)</f>
        <v>1760165953</v>
      </c>
      <c r="D5984">
        <v>5425.14</v>
      </c>
    </row>
    <row r="5985" spans="1:4" x14ac:dyDescent="0.25">
      <c r="A5985" t="s">
        <v>603</v>
      </c>
      <c r="B5985" t="s">
        <v>84</v>
      </c>
      <c r="C5985" s="2">
        <f>HYPERLINK("https://svao.dolgi.msk.ru/account/1760165961/", 1760165961)</f>
        <v>1760165961</v>
      </c>
      <c r="D5985">
        <v>5434.34</v>
      </c>
    </row>
    <row r="5986" spans="1:4" x14ac:dyDescent="0.25">
      <c r="A5986" t="s">
        <v>603</v>
      </c>
      <c r="B5986" t="s">
        <v>32</v>
      </c>
      <c r="C5986" s="2">
        <f>HYPERLINK("https://svao.dolgi.msk.ru/account/1760166024/", 1760166024)</f>
        <v>1760166024</v>
      </c>
      <c r="D5986">
        <v>2319.94</v>
      </c>
    </row>
    <row r="5987" spans="1:4" x14ac:dyDescent="0.25">
      <c r="A5987" t="s">
        <v>603</v>
      </c>
      <c r="B5987" t="s">
        <v>33</v>
      </c>
      <c r="C5987" s="2">
        <f>HYPERLINK("https://svao.dolgi.msk.ru/account/1760166059/", 1760166059)</f>
        <v>1760166059</v>
      </c>
      <c r="D5987">
        <v>2568.02</v>
      </c>
    </row>
    <row r="5988" spans="1:4" x14ac:dyDescent="0.25">
      <c r="A5988" t="s">
        <v>603</v>
      </c>
      <c r="B5988" t="s">
        <v>36</v>
      </c>
      <c r="C5988" s="2">
        <f>HYPERLINK("https://svao.dolgi.msk.ru/account/1760166139/", 1760166139)</f>
        <v>1760166139</v>
      </c>
      <c r="D5988">
        <v>5555.88</v>
      </c>
    </row>
    <row r="5989" spans="1:4" x14ac:dyDescent="0.25">
      <c r="A5989" t="s">
        <v>603</v>
      </c>
      <c r="B5989" t="s">
        <v>293</v>
      </c>
      <c r="C5989" s="2">
        <f>HYPERLINK("https://svao.dolgi.msk.ru/account/1760166155/", 1760166155)</f>
        <v>1760166155</v>
      </c>
      <c r="D5989">
        <v>112656.73</v>
      </c>
    </row>
    <row r="5990" spans="1:4" x14ac:dyDescent="0.25">
      <c r="A5990" t="s">
        <v>603</v>
      </c>
      <c r="B5990" t="s">
        <v>38</v>
      </c>
      <c r="C5990" s="2">
        <f>HYPERLINK("https://svao.dolgi.msk.ru/account/1760166323/", 1760166323)</f>
        <v>1760166323</v>
      </c>
      <c r="D5990">
        <v>3172.82</v>
      </c>
    </row>
    <row r="5991" spans="1:4" x14ac:dyDescent="0.25">
      <c r="A5991" t="s">
        <v>603</v>
      </c>
      <c r="B5991" t="s">
        <v>40</v>
      </c>
      <c r="C5991" s="2">
        <f>HYPERLINK("https://svao.dolgi.msk.ru/account/1760166219/", 1760166219)</f>
        <v>1760166219</v>
      </c>
      <c r="D5991">
        <v>6177.78</v>
      </c>
    </row>
    <row r="5992" spans="1:4" x14ac:dyDescent="0.25">
      <c r="A5992" t="s">
        <v>603</v>
      </c>
      <c r="B5992" t="s">
        <v>45</v>
      </c>
      <c r="C5992" s="2">
        <f>HYPERLINK("https://svao.dolgi.msk.ru/account/1760166358/", 1760166358)</f>
        <v>1760166358</v>
      </c>
      <c r="D5992">
        <v>6447.39</v>
      </c>
    </row>
    <row r="5993" spans="1:4" x14ac:dyDescent="0.25">
      <c r="A5993" t="s">
        <v>603</v>
      </c>
      <c r="B5993" t="s">
        <v>315</v>
      </c>
      <c r="C5993" s="2">
        <f>HYPERLINK("https://svao.dolgi.msk.ru/account/1760166374/", 1760166374)</f>
        <v>1760166374</v>
      </c>
      <c r="D5993">
        <v>3547.56</v>
      </c>
    </row>
    <row r="5994" spans="1:4" x14ac:dyDescent="0.25">
      <c r="A5994" t="s">
        <v>603</v>
      </c>
      <c r="B5994" t="s">
        <v>306</v>
      </c>
      <c r="C5994" s="2">
        <f>HYPERLINK("https://svao.dolgi.msk.ru/account/1760166585/", 1760166585)</f>
        <v>1760166585</v>
      </c>
      <c r="D5994">
        <v>4984.92</v>
      </c>
    </row>
    <row r="5995" spans="1:4" x14ac:dyDescent="0.25">
      <c r="A5995" t="s">
        <v>603</v>
      </c>
      <c r="B5995" t="s">
        <v>334</v>
      </c>
      <c r="C5995" s="2">
        <f>HYPERLINK("https://svao.dolgi.msk.ru/account/1760166614/", 1760166614)</f>
        <v>1760166614</v>
      </c>
      <c r="D5995">
        <v>2545.88</v>
      </c>
    </row>
    <row r="5996" spans="1:4" x14ac:dyDescent="0.25">
      <c r="A5996" t="s">
        <v>603</v>
      </c>
      <c r="B5996" t="s">
        <v>331</v>
      </c>
      <c r="C5996" s="2">
        <f>HYPERLINK("https://svao.dolgi.msk.ru/account/1760166622/", 1760166622)</f>
        <v>1760166622</v>
      </c>
      <c r="D5996">
        <v>6786.32</v>
      </c>
    </row>
    <row r="5997" spans="1:4" x14ac:dyDescent="0.25">
      <c r="A5997" t="s">
        <v>603</v>
      </c>
      <c r="B5997" t="s">
        <v>296</v>
      </c>
      <c r="C5997" s="2">
        <f>HYPERLINK("https://svao.dolgi.msk.ru/account/1760166745/", 1760166745)</f>
        <v>1760166745</v>
      </c>
      <c r="D5997">
        <v>4359.78</v>
      </c>
    </row>
    <row r="5998" spans="1:4" x14ac:dyDescent="0.25">
      <c r="A5998" t="s">
        <v>603</v>
      </c>
      <c r="B5998" t="s">
        <v>308</v>
      </c>
      <c r="C5998" s="2">
        <f>HYPERLINK("https://svao.dolgi.msk.ru/account/1760166825/", 1760166825)</f>
        <v>1760166825</v>
      </c>
      <c r="D5998">
        <v>23688.5</v>
      </c>
    </row>
    <row r="5999" spans="1:4" x14ac:dyDescent="0.25">
      <c r="A5999" t="s">
        <v>603</v>
      </c>
      <c r="B5999" t="s">
        <v>55</v>
      </c>
      <c r="C5999" s="2">
        <f>HYPERLINK("https://svao.dolgi.msk.ru/account/1760166884/", 1760166884)</f>
        <v>1760166884</v>
      </c>
      <c r="D5999">
        <v>5012.87</v>
      </c>
    </row>
    <row r="6000" spans="1:4" x14ac:dyDescent="0.25">
      <c r="A6000" t="s">
        <v>603</v>
      </c>
      <c r="B6000" t="s">
        <v>312</v>
      </c>
      <c r="C6000" s="2">
        <f>HYPERLINK("https://svao.dolgi.msk.ru/account/1760166972/", 1760166972)</f>
        <v>1760166972</v>
      </c>
      <c r="D6000">
        <v>750.5</v>
      </c>
    </row>
    <row r="6001" spans="1:4" x14ac:dyDescent="0.25">
      <c r="A6001" t="s">
        <v>603</v>
      </c>
      <c r="B6001" t="s">
        <v>155</v>
      </c>
      <c r="C6001" s="2">
        <f>HYPERLINK("https://svao.dolgi.msk.ru/account/1760167019/", 1760167019)</f>
        <v>1760167019</v>
      </c>
      <c r="D6001">
        <v>5155.8</v>
      </c>
    </row>
    <row r="6002" spans="1:4" x14ac:dyDescent="0.25">
      <c r="A6002" t="s">
        <v>603</v>
      </c>
      <c r="B6002" t="s">
        <v>157</v>
      </c>
      <c r="C6002" s="2">
        <f>HYPERLINK("https://svao.dolgi.msk.ru/account/1760167035/", 1760167035)</f>
        <v>1760167035</v>
      </c>
      <c r="D6002">
        <v>4358.76</v>
      </c>
    </row>
    <row r="6003" spans="1:4" x14ac:dyDescent="0.25">
      <c r="A6003" t="s">
        <v>603</v>
      </c>
      <c r="B6003" t="s">
        <v>340</v>
      </c>
      <c r="C6003" s="2">
        <f>HYPERLINK("https://svao.dolgi.msk.ru/account/1760167051/", 1760167051)</f>
        <v>1760167051</v>
      </c>
      <c r="D6003">
        <v>3253.16</v>
      </c>
    </row>
    <row r="6004" spans="1:4" x14ac:dyDescent="0.25">
      <c r="A6004" t="s">
        <v>603</v>
      </c>
      <c r="B6004" t="s">
        <v>58</v>
      </c>
      <c r="C6004" s="2">
        <f>HYPERLINK("https://svao.dolgi.msk.ru/account/1760167107/", 1760167107)</f>
        <v>1760167107</v>
      </c>
      <c r="D6004">
        <v>3535.92</v>
      </c>
    </row>
    <row r="6005" spans="1:4" x14ac:dyDescent="0.25">
      <c r="A6005" t="s">
        <v>603</v>
      </c>
      <c r="B6005" t="s">
        <v>59</v>
      </c>
      <c r="C6005" s="2">
        <f>HYPERLINK("https://svao.dolgi.msk.ru/account/1760167131/", 1760167131)</f>
        <v>1760167131</v>
      </c>
      <c r="D6005">
        <v>25452.32</v>
      </c>
    </row>
    <row r="6006" spans="1:4" x14ac:dyDescent="0.25">
      <c r="A6006" t="s">
        <v>603</v>
      </c>
      <c r="B6006" t="s">
        <v>256</v>
      </c>
      <c r="C6006" s="2">
        <f>HYPERLINK("https://svao.dolgi.msk.ru/account/1760167158/", 1760167158)</f>
        <v>1760167158</v>
      </c>
      <c r="D6006">
        <v>2565.67</v>
      </c>
    </row>
    <row r="6007" spans="1:4" x14ac:dyDescent="0.25">
      <c r="A6007" t="s">
        <v>603</v>
      </c>
      <c r="B6007" t="s">
        <v>336</v>
      </c>
      <c r="C6007" s="2">
        <f>HYPERLINK("https://svao.dolgi.msk.ru/account/1760167166/", 1760167166)</f>
        <v>1760167166</v>
      </c>
      <c r="D6007">
        <v>5349.27</v>
      </c>
    </row>
    <row r="6008" spans="1:4" x14ac:dyDescent="0.25">
      <c r="A6008" t="s">
        <v>603</v>
      </c>
      <c r="B6008" t="s">
        <v>61</v>
      </c>
      <c r="C6008" s="2">
        <f>HYPERLINK("https://svao.dolgi.msk.ru/account/1760167238/", 1760167238)</f>
        <v>1760167238</v>
      </c>
      <c r="D6008">
        <v>6502.01</v>
      </c>
    </row>
    <row r="6009" spans="1:4" x14ac:dyDescent="0.25">
      <c r="A6009" t="s">
        <v>603</v>
      </c>
      <c r="B6009" t="s">
        <v>344</v>
      </c>
      <c r="C6009" s="2">
        <f>HYPERLINK("https://svao.dolgi.msk.ru/account/1760167289/", 1760167289)</f>
        <v>1760167289</v>
      </c>
      <c r="D6009">
        <v>6223.14</v>
      </c>
    </row>
    <row r="6010" spans="1:4" x14ac:dyDescent="0.25">
      <c r="A6010" t="s">
        <v>603</v>
      </c>
      <c r="B6010" t="s">
        <v>161</v>
      </c>
      <c r="C6010" s="2">
        <f>HYPERLINK("https://svao.dolgi.msk.ru/account/1760167377/", 1760167377)</f>
        <v>1760167377</v>
      </c>
      <c r="D6010">
        <v>40039.72</v>
      </c>
    </row>
    <row r="6011" spans="1:4" x14ac:dyDescent="0.25">
      <c r="A6011" t="s">
        <v>603</v>
      </c>
      <c r="B6011" t="s">
        <v>67</v>
      </c>
      <c r="C6011" s="2">
        <f>HYPERLINK("https://svao.dolgi.msk.ru/account/1760167393/", 1760167393)</f>
        <v>1760167393</v>
      </c>
      <c r="D6011">
        <v>3390.5</v>
      </c>
    </row>
    <row r="6012" spans="1:4" x14ac:dyDescent="0.25">
      <c r="A6012" t="s">
        <v>603</v>
      </c>
      <c r="B6012" t="s">
        <v>380</v>
      </c>
      <c r="C6012" s="2">
        <f>HYPERLINK("https://svao.dolgi.msk.ru/account/1760167414/", 1760167414)</f>
        <v>1760167414</v>
      </c>
      <c r="D6012">
        <v>1456</v>
      </c>
    </row>
    <row r="6013" spans="1:4" x14ac:dyDescent="0.25">
      <c r="A6013" t="s">
        <v>603</v>
      </c>
      <c r="B6013" t="s">
        <v>163</v>
      </c>
      <c r="C6013" s="2">
        <f>HYPERLINK("https://svao.dolgi.msk.ru/account/1760167465/", 1760167465)</f>
        <v>1760167465</v>
      </c>
      <c r="D6013">
        <v>6218.76</v>
      </c>
    </row>
    <row r="6014" spans="1:4" x14ac:dyDescent="0.25">
      <c r="A6014" t="s">
        <v>603</v>
      </c>
      <c r="B6014" t="s">
        <v>259</v>
      </c>
      <c r="C6014" s="2">
        <f>HYPERLINK("https://svao.dolgi.msk.ru/account/1760167502/", 1760167502)</f>
        <v>1760167502</v>
      </c>
      <c r="D6014">
        <v>4183.76</v>
      </c>
    </row>
    <row r="6015" spans="1:4" x14ac:dyDescent="0.25">
      <c r="A6015" t="s">
        <v>603</v>
      </c>
      <c r="B6015" t="s">
        <v>69</v>
      </c>
      <c r="C6015" s="2">
        <f>HYPERLINK("https://svao.dolgi.msk.ru/account/1760167537/", 1760167537)</f>
        <v>1760167537</v>
      </c>
      <c r="D6015">
        <v>7569.05</v>
      </c>
    </row>
    <row r="6016" spans="1:4" x14ac:dyDescent="0.25">
      <c r="A6016" t="s">
        <v>603</v>
      </c>
      <c r="B6016" t="s">
        <v>260</v>
      </c>
      <c r="C6016" s="2">
        <f>HYPERLINK("https://svao.dolgi.msk.ru/account/1760167545/", 1760167545)</f>
        <v>1760167545</v>
      </c>
      <c r="D6016">
        <v>7890.42</v>
      </c>
    </row>
    <row r="6017" spans="1:4" x14ac:dyDescent="0.25">
      <c r="A6017" t="s">
        <v>603</v>
      </c>
      <c r="B6017" t="s">
        <v>261</v>
      </c>
      <c r="C6017" s="2">
        <f>HYPERLINK("https://svao.dolgi.msk.ru/account/1760167609/", 1760167609)</f>
        <v>1760167609</v>
      </c>
      <c r="D6017">
        <v>666.37</v>
      </c>
    </row>
    <row r="6018" spans="1:4" x14ac:dyDescent="0.25">
      <c r="A6018" t="s">
        <v>603</v>
      </c>
      <c r="B6018" t="s">
        <v>417</v>
      </c>
      <c r="C6018" s="2">
        <f>HYPERLINK("https://svao.dolgi.msk.ru/account/1760278851/", 1760278851)</f>
        <v>1760278851</v>
      </c>
      <c r="D6018">
        <v>1196.1600000000001</v>
      </c>
    </row>
    <row r="6019" spans="1:4" x14ac:dyDescent="0.25">
      <c r="A6019" t="s">
        <v>603</v>
      </c>
      <c r="B6019" t="s">
        <v>168</v>
      </c>
      <c r="C6019" s="2">
        <f>HYPERLINK("https://svao.dolgi.msk.ru/account/1760167705/", 1760167705)</f>
        <v>1760167705</v>
      </c>
      <c r="D6019">
        <v>5144.37</v>
      </c>
    </row>
    <row r="6020" spans="1:4" x14ac:dyDescent="0.25">
      <c r="A6020" t="s">
        <v>603</v>
      </c>
      <c r="B6020" t="s">
        <v>263</v>
      </c>
      <c r="C6020" s="2">
        <f>HYPERLINK("https://svao.dolgi.msk.ru/account/1760167764/", 1760167764)</f>
        <v>1760167764</v>
      </c>
      <c r="D6020">
        <v>8253.51</v>
      </c>
    </row>
    <row r="6021" spans="1:4" x14ac:dyDescent="0.25">
      <c r="A6021" t="s">
        <v>603</v>
      </c>
      <c r="B6021" t="s">
        <v>478</v>
      </c>
      <c r="C6021" s="2">
        <f>HYPERLINK("https://svao.dolgi.msk.ru/account/1760167828/", 1760167828)</f>
        <v>1760167828</v>
      </c>
      <c r="D6021">
        <v>5464.19</v>
      </c>
    </row>
    <row r="6022" spans="1:4" x14ac:dyDescent="0.25">
      <c r="A6022" t="s">
        <v>603</v>
      </c>
      <c r="B6022" t="s">
        <v>265</v>
      </c>
      <c r="C6022" s="2">
        <f>HYPERLINK("https://svao.dolgi.msk.ru/account/1760167836/", 1760167836)</f>
        <v>1760167836</v>
      </c>
      <c r="D6022">
        <v>2153.9299999999998</v>
      </c>
    </row>
    <row r="6023" spans="1:4" x14ac:dyDescent="0.25">
      <c r="A6023" t="s">
        <v>603</v>
      </c>
      <c r="B6023" t="s">
        <v>266</v>
      </c>
      <c r="C6023" s="2">
        <f>HYPERLINK("https://svao.dolgi.msk.ru/account/1760167887/", 1760167887)</f>
        <v>1760167887</v>
      </c>
      <c r="D6023">
        <v>2890.72</v>
      </c>
    </row>
    <row r="6024" spans="1:4" x14ac:dyDescent="0.25">
      <c r="A6024" t="s">
        <v>603</v>
      </c>
      <c r="B6024" t="s">
        <v>173</v>
      </c>
      <c r="C6024" s="2">
        <f>HYPERLINK("https://svao.dolgi.msk.ru/account/1760167924/", 1760167924)</f>
        <v>1760167924</v>
      </c>
      <c r="D6024">
        <v>5210</v>
      </c>
    </row>
    <row r="6025" spans="1:4" x14ac:dyDescent="0.25">
      <c r="A6025" t="s">
        <v>603</v>
      </c>
      <c r="B6025" t="s">
        <v>350</v>
      </c>
      <c r="C6025" s="2">
        <f>HYPERLINK("https://svao.dolgi.msk.ru/account/1760167959/", 1760167959)</f>
        <v>1760167959</v>
      </c>
      <c r="D6025">
        <v>3470.6</v>
      </c>
    </row>
    <row r="6026" spans="1:4" x14ac:dyDescent="0.25">
      <c r="A6026" t="s">
        <v>603</v>
      </c>
      <c r="B6026" t="s">
        <v>351</v>
      </c>
      <c r="C6026" s="2">
        <f>HYPERLINK("https://svao.dolgi.msk.ru/account/1760167967/", 1760167967)</f>
        <v>1760167967</v>
      </c>
      <c r="D6026">
        <v>4224.88</v>
      </c>
    </row>
    <row r="6027" spans="1:4" x14ac:dyDescent="0.25">
      <c r="A6027" t="s">
        <v>603</v>
      </c>
      <c r="B6027" t="s">
        <v>432</v>
      </c>
      <c r="C6027" s="2">
        <f>HYPERLINK("https://svao.dolgi.msk.ru/account/1760167975/", 1760167975)</f>
        <v>1760167975</v>
      </c>
      <c r="D6027">
        <v>2367.09</v>
      </c>
    </row>
    <row r="6028" spans="1:4" x14ac:dyDescent="0.25">
      <c r="A6028" t="s">
        <v>603</v>
      </c>
      <c r="B6028" t="s">
        <v>353</v>
      </c>
      <c r="C6028" s="2">
        <f>HYPERLINK("https://svao.dolgi.msk.ru/account/1760168011/", 1760168011)</f>
        <v>1760168011</v>
      </c>
      <c r="D6028">
        <v>3370.27</v>
      </c>
    </row>
    <row r="6029" spans="1:4" x14ac:dyDescent="0.25">
      <c r="A6029" t="s">
        <v>603</v>
      </c>
      <c r="B6029" t="s">
        <v>268</v>
      </c>
      <c r="C6029" s="2">
        <f>HYPERLINK("https://svao.dolgi.msk.ru/account/1760168054/", 1760168054)</f>
        <v>1760168054</v>
      </c>
      <c r="D6029">
        <v>6538.25</v>
      </c>
    </row>
    <row r="6030" spans="1:4" x14ac:dyDescent="0.25">
      <c r="A6030" t="s">
        <v>603</v>
      </c>
      <c r="B6030" t="s">
        <v>533</v>
      </c>
      <c r="C6030" s="2">
        <f>HYPERLINK("https://svao.dolgi.msk.ru/account/1760168089/", 1760168089)</f>
        <v>1760168089</v>
      </c>
      <c r="D6030">
        <v>12543.26</v>
      </c>
    </row>
    <row r="6031" spans="1:4" x14ac:dyDescent="0.25">
      <c r="A6031" t="s">
        <v>603</v>
      </c>
      <c r="B6031" t="s">
        <v>176</v>
      </c>
      <c r="C6031" s="2">
        <f>HYPERLINK("https://svao.dolgi.msk.ru/account/1760168097/", 1760168097)</f>
        <v>1760168097</v>
      </c>
      <c r="D6031">
        <v>1524.08</v>
      </c>
    </row>
    <row r="6032" spans="1:4" x14ac:dyDescent="0.25">
      <c r="A6032" t="s">
        <v>603</v>
      </c>
      <c r="B6032" t="s">
        <v>504</v>
      </c>
      <c r="C6032" s="2">
        <f>HYPERLINK("https://svao.dolgi.msk.ru/account/1760168126/", 1760168126)</f>
        <v>1760168126</v>
      </c>
      <c r="D6032">
        <v>9207.4500000000007</v>
      </c>
    </row>
    <row r="6033" spans="1:4" x14ac:dyDescent="0.25">
      <c r="A6033" t="s">
        <v>603</v>
      </c>
      <c r="B6033" t="s">
        <v>487</v>
      </c>
      <c r="C6033" s="2">
        <f>HYPERLINK("https://svao.dolgi.msk.ru/account/1760168134/", 1760168134)</f>
        <v>1760168134</v>
      </c>
      <c r="D6033">
        <v>10188.57</v>
      </c>
    </row>
    <row r="6034" spans="1:4" x14ac:dyDescent="0.25">
      <c r="A6034" t="s">
        <v>603</v>
      </c>
      <c r="B6034" t="s">
        <v>534</v>
      </c>
      <c r="C6034" s="2">
        <f>HYPERLINK("https://svao.dolgi.msk.ru/account/1760168142/", 1760168142)</f>
        <v>1760168142</v>
      </c>
      <c r="D6034">
        <v>3973.45</v>
      </c>
    </row>
    <row r="6035" spans="1:4" x14ac:dyDescent="0.25">
      <c r="A6035" t="s">
        <v>603</v>
      </c>
      <c r="B6035" t="s">
        <v>270</v>
      </c>
      <c r="C6035" s="2">
        <f>HYPERLINK("https://svao.dolgi.msk.ru/account/1760168177/", 1760168177)</f>
        <v>1760168177</v>
      </c>
      <c r="D6035">
        <v>14298.32</v>
      </c>
    </row>
    <row r="6036" spans="1:4" x14ac:dyDescent="0.25">
      <c r="A6036" t="s">
        <v>603</v>
      </c>
      <c r="B6036" t="s">
        <v>179</v>
      </c>
      <c r="C6036" s="2">
        <f>HYPERLINK("https://svao.dolgi.msk.ru/account/1760168214/", 1760168214)</f>
        <v>1760168214</v>
      </c>
      <c r="D6036">
        <v>6906.28</v>
      </c>
    </row>
    <row r="6037" spans="1:4" x14ac:dyDescent="0.25">
      <c r="A6037" t="s">
        <v>603</v>
      </c>
      <c r="B6037" t="s">
        <v>182</v>
      </c>
      <c r="C6037" s="2">
        <f>HYPERLINK("https://svao.dolgi.msk.ru/account/1760168281/", 1760168281)</f>
        <v>1760168281</v>
      </c>
      <c r="D6037">
        <v>17149.39</v>
      </c>
    </row>
    <row r="6038" spans="1:4" x14ac:dyDescent="0.25">
      <c r="A6038" t="s">
        <v>603</v>
      </c>
      <c r="B6038" t="s">
        <v>182</v>
      </c>
      <c r="C6038" s="2">
        <f>HYPERLINK("https://svao.dolgi.msk.ru/account/1761793476/", 1761793476)</f>
        <v>1761793476</v>
      </c>
      <c r="D6038">
        <v>2612.91</v>
      </c>
    </row>
    <row r="6039" spans="1:4" x14ac:dyDescent="0.25">
      <c r="A6039" t="s">
        <v>603</v>
      </c>
      <c r="B6039" t="s">
        <v>437</v>
      </c>
      <c r="C6039" s="2">
        <f>HYPERLINK("https://svao.dolgi.msk.ru/account/1760168302/", 1760168302)</f>
        <v>1760168302</v>
      </c>
      <c r="D6039">
        <v>113876.25</v>
      </c>
    </row>
    <row r="6040" spans="1:4" x14ac:dyDescent="0.25">
      <c r="A6040" t="s">
        <v>603</v>
      </c>
      <c r="B6040" t="s">
        <v>535</v>
      </c>
      <c r="C6040" s="2">
        <f>HYPERLINK("https://svao.dolgi.msk.ru/account/1760168329/", 1760168329)</f>
        <v>1760168329</v>
      </c>
      <c r="D6040">
        <v>6128.51</v>
      </c>
    </row>
    <row r="6041" spans="1:4" x14ac:dyDescent="0.25">
      <c r="A6041" t="s">
        <v>603</v>
      </c>
      <c r="B6041" t="s">
        <v>275</v>
      </c>
      <c r="C6041" s="2">
        <f>HYPERLINK("https://svao.dolgi.msk.ru/account/1760168337/", 1760168337)</f>
        <v>1760168337</v>
      </c>
      <c r="D6041">
        <v>4874.1000000000004</v>
      </c>
    </row>
    <row r="6042" spans="1:4" x14ac:dyDescent="0.25">
      <c r="A6042" t="s">
        <v>603</v>
      </c>
      <c r="B6042" t="s">
        <v>354</v>
      </c>
      <c r="C6042" s="2">
        <f>HYPERLINK("https://svao.dolgi.msk.ru/account/1760168345/", 1760168345)</f>
        <v>1760168345</v>
      </c>
      <c r="D6042">
        <v>5251.43</v>
      </c>
    </row>
    <row r="6043" spans="1:4" x14ac:dyDescent="0.25">
      <c r="A6043" t="s">
        <v>604</v>
      </c>
      <c r="B6043" t="s">
        <v>6</v>
      </c>
      <c r="C6043" s="2">
        <f>HYPERLINK("https://svao.dolgi.msk.ru/account/1760168476/", 1760168476)</f>
        <v>1760168476</v>
      </c>
      <c r="D6043">
        <v>1286.48</v>
      </c>
    </row>
    <row r="6044" spans="1:4" x14ac:dyDescent="0.25">
      <c r="A6044" t="s">
        <v>604</v>
      </c>
      <c r="B6044" t="s">
        <v>41</v>
      </c>
      <c r="C6044" s="2">
        <f>HYPERLINK("https://svao.dolgi.msk.ru/account/1760168505/", 1760168505)</f>
        <v>1760168505</v>
      </c>
      <c r="D6044">
        <v>204.32</v>
      </c>
    </row>
    <row r="6045" spans="1:4" x14ac:dyDescent="0.25">
      <c r="A6045" t="s">
        <v>604</v>
      </c>
      <c r="B6045" t="s">
        <v>41</v>
      </c>
      <c r="C6045" s="2">
        <f>HYPERLINK("https://svao.dolgi.msk.ru/account/1760168521/", 1760168521)</f>
        <v>1760168521</v>
      </c>
      <c r="D6045">
        <v>1182.1600000000001</v>
      </c>
    </row>
    <row r="6046" spans="1:4" x14ac:dyDescent="0.25">
      <c r="A6046" t="s">
        <v>604</v>
      </c>
      <c r="B6046" t="s">
        <v>5</v>
      </c>
      <c r="C6046" s="2">
        <f>HYPERLINK("https://svao.dolgi.msk.ru/account/1760168548/", 1760168548)</f>
        <v>1760168548</v>
      </c>
      <c r="D6046">
        <v>19273.93</v>
      </c>
    </row>
    <row r="6047" spans="1:4" x14ac:dyDescent="0.25">
      <c r="A6047" t="s">
        <v>604</v>
      </c>
      <c r="B6047" t="s">
        <v>141</v>
      </c>
      <c r="C6047" s="2">
        <f>HYPERLINK("https://svao.dolgi.msk.ru/account/1760168636/", 1760168636)</f>
        <v>1760168636</v>
      </c>
      <c r="D6047">
        <v>1410.85</v>
      </c>
    </row>
    <row r="6048" spans="1:4" x14ac:dyDescent="0.25">
      <c r="A6048" t="s">
        <v>604</v>
      </c>
      <c r="B6048" t="s">
        <v>102</v>
      </c>
      <c r="C6048" s="2">
        <f>HYPERLINK("https://svao.dolgi.msk.ru/account/1760168679/", 1760168679)</f>
        <v>1760168679</v>
      </c>
      <c r="D6048">
        <v>202.88</v>
      </c>
    </row>
    <row r="6049" spans="1:4" x14ac:dyDescent="0.25">
      <c r="A6049" t="s">
        <v>604</v>
      </c>
      <c r="B6049" t="s">
        <v>102</v>
      </c>
      <c r="C6049" s="2">
        <f>HYPERLINK("https://svao.dolgi.msk.ru/account/1760168695/", 1760168695)</f>
        <v>1760168695</v>
      </c>
      <c r="D6049">
        <v>399.19</v>
      </c>
    </row>
    <row r="6050" spans="1:4" x14ac:dyDescent="0.25">
      <c r="A6050" t="s">
        <v>604</v>
      </c>
      <c r="B6050" t="s">
        <v>103</v>
      </c>
      <c r="C6050" s="2">
        <f>HYPERLINK("https://svao.dolgi.msk.ru/account/1761795455/", 1761795455)</f>
        <v>1761795455</v>
      </c>
      <c r="D6050">
        <v>241.08</v>
      </c>
    </row>
    <row r="6051" spans="1:4" x14ac:dyDescent="0.25">
      <c r="A6051" t="s">
        <v>604</v>
      </c>
      <c r="B6051" t="s">
        <v>103</v>
      </c>
      <c r="C6051" s="2">
        <f>HYPERLINK("https://svao.dolgi.msk.ru/account/1761795463/", 1761795463)</f>
        <v>1761795463</v>
      </c>
      <c r="D6051">
        <v>246.8</v>
      </c>
    </row>
    <row r="6052" spans="1:4" x14ac:dyDescent="0.25">
      <c r="A6052" t="s">
        <v>604</v>
      </c>
      <c r="B6052" t="s">
        <v>73</v>
      </c>
      <c r="C6052" s="2">
        <f>HYPERLINK("https://svao.dolgi.msk.ru/account/1760168716/", 1760168716)</f>
        <v>1760168716</v>
      </c>
      <c r="D6052">
        <v>1348.83</v>
      </c>
    </row>
    <row r="6053" spans="1:4" x14ac:dyDescent="0.25">
      <c r="A6053" t="s">
        <v>604</v>
      </c>
      <c r="B6053" t="s">
        <v>73</v>
      </c>
      <c r="C6053" s="2">
        <f>HYPERLINK("https://svao.dolgi.msk.ru/account/1760168724/", 1760168724)</f>
        <v>1760168724</v>
      </c>
      <c r="D6053">
        <v>1398.1</v>
      </c>
    </row>
    <row r="6054" spans="1:4" x14ac:dyDescent="0.25">
      <c r="A6054" t="s">
        <v>604</v>
      </c>
      <c r="B6054" t="s">
        <v>8</v>
      </c>
      <c r="C6054" s="2">
        <f>HYPERLINK("https://svao.dolgi.msk.ru/account/1760168775/", 1760168775)</f>
        <v>1760168775</v>
      </c>
      <c r="D6054">
        <v>9425.67</v>
      </c>
    </row>
    <row r="6055" spans="1:4" x14ac:dyDescent="0.25">
      <c r="A6055" t="s">
        <v>604</v>
      </c>
      <c r="B6055" t="s">
        <v>74</v>
      </c>
      <c r="C6055" s="2">
        <f>HYPERLINK("https://svao.dolgi.msk.ru/account/1760168804/", 1760168804)</f>
        <v>1760168804</v>
      </c>
      <c r="D6055">
        <v>14963.59</v>
      </c>
    </row>
    <row r="6056" spans="1:4" x14ac:dyDescent="0.25">
      <c r="A6056" t="s">
        <v>605</v>
      </c>
      <c r="B6056" t="s">
        <v>102</v>
      </c>
      <c r="C6056" s="2">
        <f>HYPERLINK("https://svao.dolgi.msk.ru/account/1760168919/", 1760168919)</f>
        <v>1760168919</v>
      </c>
      <c r="D6056">
        <v>4051.92</v>
      </c>
    </row>
    <row r="6057" spans="1:4" x14ac:dyDescent="0.25">
      <c r="A6057" t="s">
        <v>605</v>
      </c>
      <c r="B6057" t="s">
        <v>73</v>
      </c>
      <c r="C6057" s="2">
        <f>HYPERLINK("https://svao.dolgi.msk.ru/account/1760168935/", 1760168935)</f>
        <v>1760168935</v>
      </c>
      <c r="D6057">
        <v>358134.92</v>
      </c>
    </row>
    <row r="6058" spans="1:4" x14ac:dyDescent="0.25">
      <c r="A6058" t="s">
        <v>605</v>
      </c>
      <c r="B6058" t="s">
        <v>219</v>
      </c>
      <c r="C6058" s="2">
        <f>HYPERLINK("https://svao.dolgi.msk.ru/account/1760169049/", 1760169049)</f>
        <v>1760169049</v>
      </c>
      <c r="D6058">
        <v>5951.63</v>
      </c>
    </row>
    <row r="6059" spans="1:4" x14ac:dyDescent="0.25">
      <c r="A6059" t="s">
        <v>605</v>
      </c>
      <c r="B6059" t="s">
        <v>15</v>
      </c>
      <c r="C6059" s="2">
        <f>HYPERLINK("https://svao.dolgi.msk.ru/account/1760169137/", 1760169137)</f>
        <v>1760169137</v>
      </c>
      <c r="D6059">
        <v>5372.4</v>
      </c>
    </row>
    <row r="6060" spans="1:4" x14ac:dyDescent="0.25">
      <c r="A6060" t="s">
        <v>605</v>
      </c>
      <c r="B6060" t="s">
        <v>17</v>
      </c>
      <c r="C6060" s="2">
        <f>HYPERLINK("https://svao.dolgi.msk.ru/account/1760169161/", 1760169161)</f>
        <v>1760169161</v>
      </c>
      <c r="D6060">
        <v>4337.42</v>
      </c>
    </row>
    <row r="6061" spans="1:4" x14ac:dyDescent="0.25">
      <c r="A6061" t="s">
        <v>605</v>
      </c>
      <c r="B6061" t="s">
        <v>20</v>
      </c>
      <c r="C6061" s="2">
        <f>HYPERLINK("https://svao.dolgi.msk.ru/account/1760169225/", 1760169225)</f>
        <v>1760169225</v>
      </c>
      <c r="D6061">
        <v>4065.16</v>
      </c>
    </row>
    <row r="6062" spans="1:4" x14ac:dyDescent="0.25">
      <c r="A6062" t="s">
        <v>605</v>
      </c>
      <c r="B6062" t="s">
        <v>77</v>
      </c>
      <c r="C6062" s="2">
        <f>HYPERLINK("https://svao.dolgi.msk.ru/account/1760169321/", 1760169321)</f>
        <v>1760169321</v>
      </c>
      <c r="D6062">
        <v>128</v>
      </c>
    </row>
    <row r="6063" spans="1:4" x14ac:dyDescent="0.25">
      <c r="A6063" t="s">
        <v>605</v>
      </c>
      <c r="B6063" t="s">
        <v>314</v>
      </c>
      <c r="C6063" s="2">
        <f>HYPERLINK("https://svao.dolgi.msk.ru/account/1760169479/", 1760169479)</f>
        <v>1760169479</v>
      </c>
      <c r="D6063">
        <v>11036.2</v>
      </c>
    </row>
    <row r="6064" spans="1:4" x14ac:dyDescent="0.25">
      <c r="A6064" t="s">
        <v>605</v>
      </c>
      <c r="B6064" t="s">
        <v>125</v>
      </c>
      <c r="C6064" s="2">
        <f>HYPERLINK("https://svao.dolgi.msk.ru/account/1760169516/", 1760169516)</f>
        <v>1760169516</v>
      </c>
      <c r="D6064">
        <v>3887.68</v>
      </c>
    </row>
    <row r="6065" spans="1:4" x14ac:dyDescent="0.25">
      <c r="A6065" t="s">
        <v>605</v>
      </c>
      <c r="B6065" t="s">
        <v>118</v>
      </c>
      <c r="C6065" s="2">
        <f>HYPERLINK("https://svao.dolgi.msk.ru/account/1760169559/", 1760169559)</f>
        <v>1760169559</v>
      </c>
      <c r="D6065">
        <v>156.51</v>
      </c>
    </row>
    <row r="6066" spans="1:4" x14ac:dyDescent="0.25">
      <c r="A6066" t="s">
        <v>605</v>
      </c>
      <c r="B6066" t="s">
        <v>119</v>
      </c>
      <c r="C6066" s="2">
        <f>HYPERLINK("https://svao.dolgi.msk.ru/account/1760169583/", 1760169583)</f>
        <v>1760169583</v>
      </c>
      <c r="D6066">
        <v>3055.03</v>
      </c>
    </row>
    <row r="6067" spans="1:4" x14ac:dyDescent="0.25">
      <c r="A6067" t="s">
        <v>605</v>
      </c>
      <c r="B6067" t="s">
        <v>25</v>
      </c>
      <c r="C6067" s="2">
        <f>HYPERLINK("https://svao.dolgi.msk.ru/account/1760169639/", 1760169639)</f>
        <v>1760169639</v>
      </c>
      <c r="D6067">
        <v>3353.11</v>
      </c>
    </row>
    <row r="6068" spans="1:4" x14ac:dyDescent="0.25">
      <c r="A6068" t="s">
        <v>605</v>
      </c>
      <c r="B6068" t="s">
        <v>132</v>
      </c>
      <c r="C6068" s="2">
        <f>HYPERLINK("https://svao.dolgi.msk.ru/account/1760169655/", 1760169655)</f>
        <v>1760169655</v>
      </c>
      <c r="D6068">
        <v>13039.61</v>
      </c>
    </row>
    <row r="6069" spans="1:4" x14ac:dyDescent="0.25">
      <c r="A6069" t="s">
        <v>605</v>
      </c>
      <c r="B6069" t="s">
        <v>26</v>
      </c>
      <c r="C6069" s="2">
        <f>HYPERLINK("https://svao.dolgi.msk.ru/account/1760169663/", 1760169663)</f>
        <v>1760169663</v>
      </c>
      <c r="D6069">
        <v>5218.49</v>
      </c>
    </row>
    <row r="6070" spans="1:4" x14ac:dyDescent="0.25">
      <c r="A6070" t="s">
        <v>605</v>
      </c>
      <c r="B6070" t="s">
        <v>121</v>
      </c>
      <c r="C6070" s="2">
        <f>HYPERLINK("https://svao.dolgi.msk.ru/account/1760169743/", 1760169743)</f>
        <v>1760169743</v>
      </c>
      <c r="D6070">
        <v>8234.8799999999992</v>
      </c>
    </row>
    <row r="6071" spans="1:4" x14ac:dyDescent="0.25">
      <c r="A6071" t="s">
        <v>605</v>
      </c>
      <c r="B6071" t="s">
        <v>139</v>
      </c>
      <c r="C6071" s="2">
        <f>HYPERLINK("https://svao.dolgi.msk.ru/account/1760169778/", 1760169778)</f>
        <v>1760169778</v>
      </c>
      <c r="D6071">
        <v>7163.06</v>
      </c>
    </row>
    <row r="6072" spans="1:4" x14ac:dyDescent="0.25">
      <c r="A6072" t="s">
        <v>605</v>
      </c>
      <c r="B6072" t="s">
        <v>29</v>
      </c>
      <c r="C6072" s="2">
        <f>HYPERLINK("https://svao.dolgi.msk.ru/account/1760169794/", 1760169794)</f>
        <v>1760169794</v>
      </c>
      <c r="D6072">
        <v>285630.61</v>
      </c>
    </row>
    <row r="6073" spans="1:4" x14ac:dyDescent="0.25">
      <c r="A6073" t="s">
        <v>605</v>
      </c>
      <c r="B6073" t="s">
        <v>97</v>
      </c>
      <c r="C6073" s="2">
        <f>HYPERLINK("https://svao.dolgi.msk.ru/account/1760169831/", 1760169831)</f>
        <v>1760169831</v>
      </c>
      <c r="D6073">
        <v>2354.36</v>
      </c>
    </row>
    <row r="6074" spans="1:4" x14ac:dyDescent="0.25">
      <c r="A6074" t="s">
        <v>606</v>
      </c>
      <c r="B6074" t="s">
        <v>6</v>
      </c>
      <c r="C6074" s="2">
        <f>HYPERLINK("https://svao.dolgi.msk.ru/account/1760169858/", 1760169858)</f>
        <v>1760169858</v>
      </c>
      <c r="D6074">
        <v>16509.39</v>
      </c>
    </row>
    <row r="6075" spans="1:4" x14ac:dyDescent="0.25">
      <c r="A6075" t="s">
        <v>606</v>
      </c>
      <c r="B6075" t="s">
        <v>141</v>
      </c>
      <c r="C6075" s="2">
        <f>HYPERLINK("https://svao.dolgi.msk.ru/account/1760169911/", 1760169911)</f>
        <v>1760169911</v>
      </c>
      <c r="D6075">
        <v>265.81</v>
      </c>
    </row>
    <row r="6076" spans="1:4" x14ac:dyDescent="0.25">
      <c r="A6076" t="s">
        <v>606</v>
      </c>
      <c r="B6076" t="s">
        <v>104</v>
      </c>
      <c r="C6076" s="2">
        <f>HYPERLINK("https://svao.dolgi.msk.ru/account/1760169962/", 1760169962)</f>
        <v>1760169962</v>
      </c>
      <c r="D6076">
        <v>1417.51</v>
      </c>
    </row>
    <row r="6077" spans="1:4" x14ac:dyDescent="0.25">
      <c r="A6077" t="s">
        <v>606</v>
      </c>
      <c r="B6077" t="s">
        <v>74</v>
      </c>
      <c r="C6077" s="2">
        <f>HYPERLINK("https://svao.dolgi.msk.ru/account/1760169997/", 1760169997)</f>
        <v>1760169997</v>
      </c>
      <c r="D6077">
        <v>34585.11</v>
      </c>
    </row>
    <row r="6078" spans="1:4" x14ac:dyDescent="0.25">
      <c r="A6078" t="s">
        <v>606</v>
      </c>
      <c r="B6078" t="s">
        <v>9</v>
      </c>
      <c r="C6078" s="2">
        <f>HYPERLINK("https://svao.dolgi.msk.ru/account/1760170031/", 1760170031)</f>
        <v>1760170031</v>
      </c>
      <c r="D6078">
        <v>7833.57</v>
      </c>
    </row>
    <row r="6079" spans="1:4" x14ac:dyDescent="0.25">
      <c r="A6079" t="s">
        <v>606</v>
      </c>
      <c r="B6079" t="s">
        <v>12</v>
      </c>
      <c r="C6079" s="2">
        <f>HYPERLINK("https://svao.dolgi.msk.ru/account/1760170146/", 1760170146)</f>
        <v>1760170146</v>
      </c>
      <c r="D6079">
        <v>5961.92</v>
      </c>
    </row>
    <row r="6080" spans="1:4" x14ac:dyDescent="0.25">
      <c r="A6080" t="s">
        <v>607</v>
      </c>
      <c r="B6080" t="s">
        <v>6</v>
      </c>
      <c r="C6080" s="2">
        <f>HYPERLINK("https://svao.dolgi.msk.ru/account/1760170365/", 1760170365)</f>
        <v>1760170365</v>
      </c>
      <c r="D6080">
        <v>436.5</v>
      </c>
    </row>
    <row r="6081" spans="1:4" x14ac:dyDescent="0.25">
      <c r="A6081" t="s">
        <v>607</v>
      </c>
      <c r="B6081" t="s">
        <v>7</v>
      </c>
      <c r="C6081" s="2">
        <f>HYPERLINK("https://svao.dolgi.msk.ru/account/1760170402/", 1760170402)</f>
        <v>1760170402</v>
      </c>
      <c r="D6081">
        <v>9104.82</v>
      </c>
    </row>
    <row r="6082" spans="1:4" x14ac:dyDescent="0.25">
      <c r="A6082" t="s">
        <v>607</v>
      </c>
      <c r="B6082" t="s">
        <v>8</v>
      </c>
      <c r="C6082" s="2">
        <f>HYPERLINK("https://svao.dolgi.msk.ru/account/1760170496/", 1760170496)</f>
        <v>1760170496</v>
      </c>
      <c r="D6082">
        <v>3011.98</v>
      </c>
    </row>
    <row r="6083" spans="1:4" x14ac:dyDescent="0.25">
      <c r="A6083" t="s">
        <v>607</v>
      </c>
      <c r="B6083" t="s">
        <v>10</v>
      </c>
      <c r="C6083" s="2">
        <f>HYPERLINK("https://svao.dolgi.msk.ru/account/1760170568/", 1760170568)</f>
        <v>1760170568</v>
      </c>
      <c r="D6083">
        <v>170734.75</v>
      </c>
    </row>
    <row r="6084" spans="1:4" x14ac:dyDescent="0.25">
      <c r="A6084" t="s">
        <v>607</v>
      </c>
      <c r="B6084" t="s">
        <v>19</v>
      </c>
      <c r="C6084" s="2">
        <f>HYPERLINK("https://svao.dolgi.msk.ru/account/1760170728/", 1760170728)</f>
        <v>1760170728</v>
      </c>
      <c r="D6084">
        <v>7926.76</v>
      </c>
    </row>
    <row r="6085" spans="1:4" x14ac:dyDescent="0.25">
      <c r="A6085" t="s">
        <v>607</v>
      </c>
      <c r="B6085" t="s">
        <v>109</v>
      </c>
      <c r="C6085" s="2">
        <f>HYPERLINK("https://svao.dolgi.msk.ru/account/1760170736/", 1760170736)</f>
        <v>1760170736</v>
      </c>
      <c r="D6085">
        <v>452.61</v>
      </c>
    </row>
    <row r="6086" spans="1:4" x14ac:dyDescent="0.25">
      <c r="A6086" t="s">
        <v>607</v>
      </c>
      <c r="B6086" t="s">
        <v>20</v>
      </c>
      <c r="C6086" s="2">
        <f>HYPERLINK("https://svao.dolgi.msk.ru/account/1760170752/", 1760170752)</f>
        <v>1760170752</v>
      </c>
      <c r="D6086">
        <v>5537.49</v>
      </c>
    </row>
    <row r="6087" spans="1:4" x14ac:dyDescent="0.25">
      <c r="A6087" t="s">
        <v>607</v>
      </c>
      <c r="B6087" t="s">
        <v>76</v>
      </c>
      <c r="C6087" s="2">
        <f>HYPERLINK("https://svao.dolgi.msk.ru/account/1760170779/", 1760170779)</f>
        <v>1760170779</v>
      </c>
      <c r="D6087">
        <v>11647.68</v>
      </c>
    </row>
    <row r="6088" spans="1:4" x14ac:dyDescent="0.25">
      <c r="A6088" t="s">
        <v>607</v>
      </c>
      <c r="B6088" t="s">
        <v>21</v>
      </c>
      <c r="C6088" s="2">
        <f>HYPERLINK("https://svao.dolgi.msk.ru/account/1760170859/", 1760170859)</f>
        <v>1760170859</v>
      </c>
      <c r="D6088">
        <v>2259.7199999999998</v>
      </c>
    </row>
    <row r="6089" spans="1:4" x14ac:dyDescent="0.25">
      <c r="A6089" t="s">
        <v>607</v>
      </c>
      <c r="B6089" t="s">
        <v>320</v>
      </c>
      <c r="C6089" s="2">
        <f>HYPERLINK("https://svao.dolgi.msk.ru/account/1760170963/", 1760170963)</f>
        <v>1760170963</v>
      </c>
      <c r="D6089">
        <v>3223.8</v>
      </c>
    </row>
    <row r="6090" spans="1:4" x14ac:dyDescent="0.25">
      <c r="A6090" t="s">
        <v>607</v>
      </c>
      <c r="B6090" t="s">
        <v>242</v>
      </c>
      <c r="C6090" s="2">
        <f>HYPERLINK("https://svao.dolgi.msk.ru/account/1760171018/", 1760171018)</f>
        <v>1760171018</v>
      </c>
      <c r="D6090">
        <v>1842.95</v>
      </c>
    </row>
    <row r="6091" spans="1:4" x14ac:dyDescent="0.25">
      <c r="A6091" t="s">
        <v>607</v>
      </c>
      <c r="B6091" t="s">
        <v>131</v>
      </c>
      <c r="C6091" s="2">
        <f>HYPERLINK("https://svao.dolgi.msk.ru/account/1760171034/", 1760171034)</f>
        <v>1760171034</v>
      </c>
      <c r="D6091">
        <v>3278.32</v>
      </c>
    </row>
    <row r="6092" spans="1:4" x14ac:dyDescent="0.25">
      <c r="A6092" t="s">
        <v>608</v>
      </c>
      <c r="B6092" t="s">
        <v>6</v>
      </c>
      <c r="C6092" s="2">
        <f>HYPERLINK("https://svao.dolgi.msk.ru/account/1760171093/", 1760171093)</f>
        <v>1760171093</v>
      </c>
      <c r="D6092">
        <v>5595.65</v>
      </c>
    </row>
    <row r="6093" spans="1:4" x14ac:dyDescent="0.25">
      <c r="A6093" t="s">
        <v>608</v>
      </c>
      <c r="B6093" t="s">
        <v>41</v>
      </c>
      <c r="C6093" s="2">
        <f>HYPERLINK("https://svao.dolgi.msk.ru/account/1760171106/", 1760171106)</f>
        <v>1760171106</v>
      </c>
      <c r="D6093">
        <v>6008.69</v>
      </c>
    </row>
    <row r="6094" spans="1:4" x14ac:dyDescent="0.25">
      <c r="A6094" t="s">
        <v>608</v>
      </c>
      <c r="B6094" t="s">
        <v>5</v>
      </c>
      <c r="C6094" s="2">
        <f>HYPERLINK("https://svao.dolgi.msk.ru/account/1760171114/", 1760171114)</f>
        <v>1760171114</v>
      </c>
      <c r="D6094">
        <v>13183.05</v>
      </c>
    </row>
    <row r="6095" spans="1:4" x14ac:dyDescent="0.25">
      <c r="A6095" t="s">
        <v>608</v>
      </c>
      <c r="B6095" t="s">
        <v>73</v>
      </c>
      <c r="C6095" s="2">
        <f>HYPERLINK("https://svao.dolgi.msk.ru/account/1760171181/", 1760171181)</f>
        <v>1760171181</v>
      </c>
      <c r="D6095">
        <v>5573.69</v>
      </c>
    </row>
    <row r="6096" spans="1:4" x14ac:dyDescent="0.25">
      <c r="A6096" t="s">
        <v>608</v>
      </c>
      <c r="B6096" t="s">
        <v>137</v>
      </c>
      <c r="C6096" s="2">
        <f>HYPERLINK("https://svao.dolgi.msk.ru/account/1760171245/", 1760171245)</f>
        <v>1760171245</v>
      </c>
      <c r="D6096">
        <v>3667.35</v>
      </c>
    </row>
    <row r="6097" spans="1:4" x14ac:dyDescent="0.25">
      <c r="A6097" t="s">
        <v>608</v>
      </c>
      <c r="B6097" t="s">
        <v>75</v>
      </c>
      <c r="C6097" s="2">
        <f>HYPERLINK("https://svao.dolgi.msk.ru/account/1760171261/", 1760171261)</f>
        <v>1760171261</v>
      </c>
      <c r="D6097">
        <v>6725.86</v>
      </c>
    </row>
    <row r="6098" spans="1:4" x14ac:dyDescent="0.25">
      <c r="A6098" t="s">
        <v>608</v>
      </c>
      <c r="B6098" t="s">
        <v>91</v>
      </c>
      <c r="C6098" s="2">
        <f>HYPERLINK("https://svao.dolgi.msk.ru/account/1760171288/", 1760171288)</f>
        <v>1760171288</v>
      </c>
      <c r="D6098">
        <v>4307.8999999999996</v>
      </c>
    </row>
    <row r="6099" spans="1:4" x14ac:dyDescent="0.25">
      <c r="A6099" t="s">
        <v>608</v>
      </c>
      <c r="B6099" t="s">
        <v>10</v>
      </c>
      <c r="C6099" s="2">
        <f>HYPERLINK("https://svao.dolgi.msk.ru/account/1760171296/", 1760171296)</f>
        <v>1760171296</v>
      </c>
      <c r="D6099">
        <v>3186.45</v>
      </c>
    </row>
    <row r="6100" spans="1:4" x14ac:dyDescent="0.25">
      <c r="A6100" t="s">
        <v>608</v>
      </c>
      <c r="B6100" t="s">
        <v>12</v>
      </c>
      <c r="C6100" s="2">
        <f>HYPERLINK("https://svao.dolgi.msk.ru/account/1760171325/", 1760171325)</f>
        <v>1760171325</v>
      </c>
      <c r="D6100">
        <v>22630.5</v>
      </c>
    </row>
    <row r="6101" spans="1:4" x14ac:dyDescent="0.25">
      <c r="A6101" t="s">
        <v>608</v>
      </c>
      <c r="B6101" t="s">
        <v>16</v>
      </c>
      <c r="C6101" s="2">
        <f>HYPERLINK("https://svao.dolgi.msk.ru/account/1760171392/", 1760171392)</f>
        <v>1760171392</v>
      </c>
      <c r="D6101">
        <v>6298.85</v>
      </c>
    </row>
    <row r="6102" spans="1:4" x14ac:dyDescent="0.25">
      <c r="A6102" t="s">
        <v>608</v>
      </c>
      <c r="B6102" t="s">
        <v>17</v>
      </c>
      <c r="C6102" s="2">
        <f>HYPERLINK("https://svao.dolgi.msk.ru/account/1760171405/", 1760171405)</f>
        <v>1760171405</v>
      </c>
      <c r="D6102">
        <v>11525.03</v>
      </c>
    </row>
    <row r="6103" spans="1:4" x14ac:dyDescent="0.25">
      <c r="A6103" t="s">
        <v>608</v>
      </c>
      <c r="B6103" t="s">
        <v>19</v>
      </c>
      <c r="C6103" s="2">
        <f>HYPERLINK("https://svao.dolgi.msk.ru/account/1760171421/", 1760171421)</f>
        <v>1760171421</v>
      </c>
      <c r="D6103">
        <v>9095.98</v>
      </c>
    </row>
    <row r="6104" spans="1:4" x14ac:dyDescent="0.25">
      <c r="A6104" t="s">
        <v>608</v>
      </c>
      <c r="B6104" t="s">
        <v>92</v>
      </c>
      <c r="C6104" s="2">
        <f>HYPERLINK("https://svao.dolgi.msk.ru/account/1760171499/", 1760171499)</f>
        <v>1760171499</v>
      </c>
      <c r="D6104">
        <v>582.35</v>
      </c>
    </row>
    <row r="6105" spans="1:4" x14ac:dyDescent="0.25">
      <c r="A6105" t="s">
        <v>608</v>
      </c>
      <c r="B6105" t="s">
        <v>22</v>
      </c>
      <c r="C6105" s="2">
        <f>HYPERLINK("https://svao.dolgi.msk.ru/account/1760171616/", 1760171616)</f>
        <v>1760171616</v>
      </c>
      <c r="D6105">
        <v>3774.81</v>
      </c>
    </row>
    <row r="6106" spans="1:4" x14ac:dyDescent="0.25">
      <c r="A6106" t="s">
        <v>608</v>
      </c>
      <c r="B6106" t="s">
        <v>115</v>
      </c>
      <c r="C6106" s="2">
        <f>HYPERLINK("https://svao.dolgi.msk.ru/account/1760171675/", 1760171675)</f>
        <v>1760171675</v>
      </c>
      <c r="D6106">
        <v>3473.52</v>
      </c>
    </row>
    <row r="6107" spans="1:4" x14ac:dyDescent="0.25">
      <c r="A6107" t="s">
        <v>608</v>
      </c>
      <c r="B6107" t="s">
        <v>314</v>
      </c>
      <c r="C6107" s="2">
        <f>HYPERLINK("https://svao.dolgi.msk.ru/account/1760171712/", 1760171712)</f>
        <v>1760171712</v>
      </c>
      <c r="D6107">
        <v>4270.49</v>
      </c>
    </row>
    <row r="6108" spans="1:4" x14ac:dyDescent="0.25">
      <c r="A6108" t="s">
        <v>608</v>
      </c>
      <c r="B6108" t="s">
        <v>127</v>
      </c>
      <c r="C6108" s="2">
        <f>HYPERLINK("https://svao.dolgi.msk.ru/account/1760171827/", 1760171827)</f>
        <v>1760171827</v>
      </c>
      <c r="D6108">
        <v>111925.5</v>
      </c>
    </row>
    <row r="6109" spans="1:4" x14ac:dyDescent="0.25">
      <c r="A6109" t="s">
        <v>608</v>
      </c>
      <c r="B6109" t="s">
        <v>119</v>
      </c>
      <c r="C6109" s="2">
        <f>HYPERLINK("https://svao.dolgi.msk.ru/account/1760171843/", 1760171843)</f>
        <v>1760171843</v>
      </c>
      <c r="D6109">
        <v>9759.74</v>
      </c>
    </row>
    <row r="6110" spans="1:4" x14ac:dyDescent="0.25">
      <c r="A6110" t="s">
        <v>608</v>
      </c>
      <c r="B6110" t="s">
        <v>25</v>
      </c>
      <c r="C6110" s="2">
        <f>HYPERLINK("https://svao.dolgi.msk.ru/account/1760171894/", 1760171894)</f>
        <v>1760171894</v>
      </c>
      <c r="D6110">
        <v>21320.32</v>
      </c>
    </row>
    <row r="6111" spans="1:4" x14ac:dyDescent="0.25">
      <c r="A6111" t="s">
        <v>608</v>
      </c>
      <c r="B6111" t="s">
        <v>96</v>
      </c>
      <c r="C6111" s="2">
        <f>HYPERLINK("https://svao.dolgi.msk.ru/account/1760171958/", 1760171958)</f>
        <v>1760171958</v>
      </c>
      <c r="D6111">
        <v>6190.83</v>
      </c>
    </row>
    <row r="6112" spans="1:4" x14ac:dyDescent="0.25">
      <c r="A6112" t="s">
        <v>608</v>
      </c>
      <c r="B6112" t="s">
        <v>243</v>
      </c>
      <c r="C6112" s="2">
        <f>HYPERLINK("https://svao.dolgi.msk.ru/account/1760171982/", 1760171982)</f>
        <v>1760171982</v>
      </c>
      <c r="D6112">
        <v>18519.87</v>
      </c>
    </row>
    <row r="6113" spans="1:4" x14ac:dyDescent="0.25">
      <c r="A6113" t="s">
        <v>608</v>
      </c>
      <c r="B6113" t="s">
        <v>139</v>
      </c>
      <c r="C6113" s="2">
        <f>HYPERLINK("https://svao.dolgi.msk.ru/account/1760172037/", 1760172037)</f>
        <v>1760172037</v>
      </c>
      <c r="D6113">
        <v>12233.04</v>
      </c>
    </row>
    <row r="6114" spans="1:4" x14ac:dyDescent="0.25">
      <c r="A6114" t="s">
        <v>608</v>
      </c>
      <c r="B6114" t="s">
        <v>291</v>
      </c>
      <c r="C6114" s="2">
        <f>HYPERLINK("https://svao.dolgi.msk.ru/account/1760172141/", 1760172141)</f>
        <v>1760172141</v>
      </c>
      <c r="D6114">
        <v>32699.75</v>
      </c>
    </row>
    <row r="6115" spans="1:4" x14ac:dyDescent="0.25">
      <c r="A6115" t="s">
        <v>608</v>
      </c>
      <c r="B6115" t="s">
        <v>34</v>
      </c>
      <c r="C6115" s="2">
        <f>HYPERLINK("https://svao.dolgi.msk.ru/account/1760172205/", 1760172205)</f>
        <v>1760172205</v>
      </c>
      <c r="D6115">
        <v>5601.17</v>
      </c>
    </row>
    <row r="6116" spans="1:4" x14ac:dyDescent="0.25">
      <c r="A6116" t="s">
        <v>608</v>
      </c>
      <c r="B6116" t="s">
        <v>99</v>
      </c>
      <c r="C6116" s="2">
        <f>HYPERLINK("https://svao.dolgi.msk.ru/account/1760172221/", 1760172221)</f>
        <v>1760172221</v>
      </c>
      <c r="D6116">
        <v>26528.48</v>
      </c>
    </row>
    <row r="6117" spans="1:4" x14ac:dyDescent="0.25">
      <c r="A6117" t="s">
        <v>608</v>
      </c>
      <c r="B6117" t="s">
        <v>333</v>
      </c>
      <c r="C6117" s="2">
        <f>HYPERLINK("https://svao.dolgi.msk.ru/account/1760172264/", 1760172264)</f>
        <v>1760172264</v>
      </c>
      <c r="D6117">
        <v>6580.79</v>
      </c>
    </row>
    <row r="6118" spans="1:4" x14ac:dyDescent="0.25">
      <c r="A6118" t="s">
        <v>608</v>
      </c>
      <c r="B6118" t="s">
        <v>36</v>
      </c>
      <c r="C6118" s="2">
        <f>HYPERLINK("https://svao.dolgi.msk.ru/account/1760172299/", 1760172299)</f>
        <v>1760172299</v>
      </c>
      <c r="D6118">
        <v>6701.41</v>
      </c>
    </row>
    <row r="6119" spans="1:4" x14ac:dyDescent="0.25">
      <c r="A6119" t="s">
        <v>608</v>
      </c>
      <c r="B6119" t="s">
        <v>38</v>
      </c>
      <c r="C6119" s="2">
        <f>HYPERLINK("https://svao.dolgi.msk.ru/account/1760172352/", 1760172352)</f>
        <v>1760172352</v>
      </c>
      <c r="D6119">
        <v>14268.67</v>
      </c>
    </row>
    <row r="6120" spans="1:4" x14ac:dyDescent="0.25">
      <c r="A6120" t="s">
        <v>608</v>
      </c>
      <c r="B6120" t="s">
        <v>246</v>
      </c>
      <c r="C6120" s="2">
        <f>HYPERLINK("https://svao.dolgi.msk.ru/account/1760172379/", 1760172379)</f>
        <v>1760172379</v>
      </c>
      <c r="D6120">
        <v>4289.63</v>
      </c>
    </row>
    <row r="6121" spans="1:4" x14ac:dyDescent="0.25">
      <c r="A6121" t="s">
        <v>608</v>
      </c>
      <c r="B6121" t="s">
        <v>142</v>
      </c>
      <c r="C6121" s="2">
        <f>HYPERLINK("https://svao.dolgi.msk.ru/account/1760172432/", 1760172432)</f>
        <v>1760172432</v>
      </c>
      <c r="D6121">
        <v>2777.82</v>
      </c>
    </row>
    <row r="6122" spans="1:4" x14ac:dyDescent="0.25">
      <c r="A6122" t="s">
        <v>609</v>
      </c>
      <c r="B6122" t="s">
        <v>41</v>
      </c>
      <c r="C6122" s="2">
        <f>HYPERLINK("https://svao.dolgi.msk.ru/account/1760172467/", 1760172467)</f>
        <v>1760172467</v>
      </c>
      <c r="D6122">
        <v>3260.26</v>
      </c>
    </row>
    <row r="6123" spans="1:4" x14ac:dyDescent="0.25">
      <c r="A6123" t="s">
        <v>609</v>
      </c>
      <c r="B6123" t="s">
        <v>5</v>
      </c>
      <c r="C6123" s="2">
        <f>HYPERLINK("https://svao.dolgi.msk.ru/account/1760172475/", 1760172475)</f>
        <v>1760172475</v>
      </c>
      <c r="D6123">
        <v>3816.44</v>
      </c>
    </row>
    <row r="6124" spans="1:4" x14ac:dyDescent="0.25">
      <c r="A6124" t="s">
        <v>609</v>
      </c>
      <c r="B6124" t="s">
        <v>141</v>
      </c>
      <c r="C6124" s="2">
        <f>HYPERLINK("https://svao.dolgi.msk.ru/account/1760172504/", 1760172504)</f>
        <v>1760172504</v>
      </c>
      <c r="D6124">
        <v>5450.53</v>
      </c>
    </row>
    <row r="6125" spans="1:4" x14ac:dyDescent="0.25">
      <c r="A6125" t="s">
        <v>609</v>
      </c>
      <c r="B6125" t="s">
        <v>102</v>
      </c>
      <c r="C6125" s="2">
        <f>HYPERLINK("https://svao.dolgi.msk.ru/account/1760172512/", 1760172512)</f>
        <v>1760172512</v>
      </c>
      <c r="D6125">
        <v>3987.97</v>
      </c>
    </row>
    <row r="6126" spans="1:4" x14ac:dyDescent="0.25">
      <c r="A6126" t="s">
        <v>609</v>
      </c>
      <c r="B6126" t="s">
        <v>137</v>
      </c>
      <c r="C6126" s="2">
        <f>HYPERLINK("https://svao.dolgi.msk.ru/account/1760172598/", 1760172598)</f>
        <v>1760172598</v>
      </c>
      <c r="D6126">
        <v>2891.29</v>
      </c>
    </row>
    <row r="6127" spans="1:4" x14ac:dyDescent="0.25">
      <c r="A6127" t="s">
        <v>609</v>
      </c>
      <c r="B6127" t="s">
        <v>75</v>
      </c>
      <c r="C6127" s="2">
        <f>HYPERLINK("https://svao.dolgi.msk.ru/account/1760172627/", 1760172627)</f>
        <v>1760172627</v>
      </c>
      <c r="D6127">
        <v>2918.52</v>
      </c>
    </row>
    <row r="6128" spans="1:4" x14ac:dyDescent="0.25">
      <c r="A6128" t="s">
        <v>609</v>
      </c>
      <c r="B6128" t="s">
        <v>91</v>
      </c>
      <c r="C6128" s="2">
        <f>HYPERLINK("https://svao.dolgi.msk.ru/account/1760172635/", 1760172635)</f>
        <v>1760172635</v>
      </c>
      <c r="D6128">
        <v>3322.36</v>
      </c>
    </row>
    <row r="6129" spans="1:4" x14ac:dyDescent="0.25">
      <c r="A6129" t="s">
        <v>609</v>
      </c>
      <c r="B6129" t="s">
        <v>93</v>
      </c>
      <c r="C6129" s="2">
        <f>HYPERLINK("https://svao.dolgi.msk.ru/account/1760172889/", 1760172889)</f>
        <v>1760172889</v>
      </c>
      <c r="D6129">
        <v>708.82</v>
      </c>
    </row>
    <row r="6130" spans="1:4" x14ac:dyDescent="0.25">
      <c r="A6130" t="s">
        <v>609</v>
      </c>
      <c r="B6130" t="s">
        <v>94</v>
      </c>
      <c r="C6130" s="2">
        <f>HYPERLINK("https://svao.dolgi.msk.ru/account/1760172918/", 1760172918)</f>
        <v>1760172918</v>
      </c>
      <c r="D6130">
        <v>6336.92</v>
      </c>
    </row>
    <row r="6131" spans="1:4" x14ac:dyDescent="0.25">
      <c r="A6131" t="s">
        <v>609</v>
      </c>
      <c r="B6131" t="s">
        <v>112</v>
      </c>
      <c r="C6131" s="2">
        <f>HYPERLINK("https://svao.dolgi.msk.ru/account/1760172926/", 1760172926)</f>
        <v>1760172926</v>
      </c>
      <c r="D6131">
        <v>201.91</v>
      </c>
    </row>
    <row r="6132" spans="1:4" x14ac:dyDescent="0.25">
      <c r="A6132" t="s">
        <v>609</v>
      </c>
      <c r="B6132" t="s">
        <v>77</v>
      </c>
      <c r="C6132" s="2">
        <f>HYPERLINK("https://svao.dolgi.msk.ru/account/1760172969/", 1760172969)</f>
        <v>1760172969</v>
      </c>
      <c r="D6132">
        <v>5235.3599999999997</v>
      </c>
    </row>
    <row r="6133" spans="1:4" x14ac:dyDescent="0.25">
      <c r="A6133" t="s">
        <v>609</v>
      </c>
      <c r="B6133" t="s">
        <v>114</v>
      </c>
      <c r="C6133" s="2">
        <f>HYPERLINK("https://svao.dolgi.msk.ru/account/1760172977/", 1760172977)</f>
        <v>1760172977</v>
      </c>
      <c r="D6133">
        <v>22691.54</v>
      </c>
    </row>
    <row r="6134" spans="1:4" x14ac:dyDescent="0.25">
      <c r="A6134" t="s">
        <v>609</v>
      </c>
      <c r="B6134" t="s">
        <v>22</v>
      </c>
      <c r="C6134" s="2">
        <f>HYPERLINK("https://svao.dolgi.msk.ru/account/1760173005/", 1760173005)</f>
        <v>1760173005</v>
      </c>
      <c r="D6134">
        <v>2121.11</v>
      </c>
    </row>
    <row r="6135" spans="1:4" x14ac:dyDescent="0.25">
      <c r="A6135" t="s">
        <v>609</v>
      </c>
      <c r="B6135" t="s">
        <v>124</v>
      </c>
      <c r="C6135" s="2">
        <f>HYPERLINK("https://svao.dolgi.msk.ru/account/1761810176/", 1761810176)</f>
        <v>1761810176</v>
      </c>
      <c r="D6135">
        <v>1913.52</v>
      </c>
    </row>
    <row r="6136" spans="1:4" x14ac:dyDescent="0.25">
      <c r="A6136" t="s">
        <v>609</v>
      </c>
      <c r="B6136" t="s">
        <v>24</v>
      </c>
      <c r="C6136" s="2">
        <f>HYPERLINK("https://svao.dolgi.msk.ru/account/1760173099/", 1760173099)</f>
        <v>1760173099</v>
      </c>
      <c r="D6136">
        <v>3858.95</v>
      </c>
    </row>
    <row r="6137" spans="1:4" x14ac:dyDescent="0.25">
      <c r="A6137" t="s">
        <v>610</v>
      </c>
      <c r="B6137" t="s">
        <v>41</v>
      </c>
      <c r="C6137" s="2">
        <f>HYPERLINK("https://svao.dolgi.msk.ru/account/1760246358/", 1760246358)</f>
        <v>1760246358</v>
      </c>
      <c r="D6137">
        <v>1383.62</v>
      </c>
    </row>
    <row r="6138" spans="1:4" x14ac:dyDescent="0.25">
      <c r="A6138" t="s">
        <v>610</v>
      </c>
      <c r="B6138" t="s">
        <v>5</v>
      </c>
      <c r="C6138" s="2">
        <f>HYPERLINK("https://svao.dolgi.msk.ru/account/1760246366/", 1760246366)</f>
        <v>1760246366</v>
      </c>
      <c r="D6138">
        <v>2294.5300000000002</v>
      </c>
    </row>
    <row r="6139" spans="1:4" x14ac:dyDescent="0.25">
      <c r="A6139" t="s">
        <v>610</v>
      </c>
      <c r="B6139" t="s">
        <v>101</v>
      </c>
      <c r="C6139" s="2">
        <f>HYPERLINK("https://svao.dolgi.msk.ru/account/1760246382/", 1760246382)</f>
        <v>1760246382</v>
      </c>
      <c r="D6139">
        <v>11628.63</v>
      </c>
    </row>
    <row r="6140" spans="1:4" x14ac:dyDescent="0.25">
      <c r="A6140" t="s">
        <v>610</v>
      </c>
      <c r="B6140" t="s">
        <v>141</v>
      </c>
      <c r="C6140" s="2">
        <f>HYPERLINK("https://svao.dolgi.msk.ru/account/1760246403/", 1760246403)</f>
        <v>1760246403</v>
      </c>
      <c r="D6140">
        <v>550.66</v>
      </c>
    </row>
    <row r="6141" spans="1:4" x14ac:dyDescent="0.25">
      <c r="A6141" t="s">
        <v>610</v>
      </c>
      <c r="B6141" t="s">
        <v>73</v>
      </c>
      <c r="C6141" s="2">
        <f>HYPERLINK("https://svao.dolgi.msk.ru/account/1760246446/", 1760246446)</f>
        <v>1760246446</v>
      </c>
      <c r="D6141">
        <v>2819.25</v>
      </c>
    </row>
    <row r="6142" spans="1:4" x14ac:dyDescent="0.25">
      <c r="A6142" t="s">
        <v>610</v>
      </c>
      <c r="B6142" t="s">
        <v>104</v>
      </c>
      <c r="C6142" s="2">
        <f>HYPERLINK("https://svao.dolgi.msk.ru/account/1760246454/", 1760246454)</f>
        <v>1760246454</v>
      </c>
      <c r="D6142">
        <v>72331.8</v>
      </c>
    </row>
    <row r="6143" spans="1:4" x14ac:dyDescent="0.25">
      <c r="A6143" t="s">
        <v>610</v>
      </c>
      <c r="B6143" t="s">
        <v>8</v>
      </c>
      <c r="C6143" s="2">
        <f>HYPERLINK("https://svao.dolgi.msk.ru/account/1760246462/", 1760246462)</f>
        <v>1760246462</v>
      </c>
      <c r="D6143">
        <v>2485.33</v>
      </c>
    </row>
    <row r="6144" spans="1:4" x14ac:dyDescent="0.25">
      <c r="A6144" t="s">
        <v>610</v>
      </c>
      <c r="B6144" t="s">
        <v>137</v>
      </c>
      <c r="C6144" s="2">
        <f>HYPERLINK("https://svao.dolgi.msk.ru/account/1760246497/", 1760246497)</f>
        <v>1760246497</v>
      </c>
      <c r="D6144">
        <v>4190.12</v>
      </c>
    </row>
    <row r="6145" spans="1:4" x14ac:dyDescent="0.25">
      <c r="A6145" t="s">
        <v>610</v>
      </c>
      <c r="B6145" t="s">
        <v>219</v>
      </c>
      <c r="C6145" s="2">
        <f>HYPERLINK("https://svao.dolgi.msk.ru/account/1760246569/", 1760246569)</f>
        <v>1760246569</v>
      </c>
      <c r="D6145">
        <v>7889.64</v>
      </c>
    </row>
    <row r="6146" spans="1:4" x14ac:dyDescent="0.25">
      <c r="A6146" t="s">
        <v>610</v>
      </c>
      <c r="B6146" t="s">
        <v>13</v>
      </c>
      <c r="C6146" s="2">
        <f>HYPERLINK("https://svao.dolgi.msk.ru/account/1760246593/", 1760246593)</f>
        <v>1760246593</v>
      </c>
      <c r="D6146">
        <v>5604.63</v>
      </c>
    </row>
    <row r="6147" spans="1:4" x14ac:dyDescent="0.25">
      <c r="A6147" t="s">
        <v>610</v>
      </c>
      <c r="B6147" t="s">
        <v>106</v>
      </c>
      <c r="C6147" s="2">
        <f>HYPERLINK("https://svao.dolgi.msk.ru/account/1760246614/", 1760246614)</f>
        <v>1760246614</v>
      </c>
      <c r="D6147">
        <v>2135.9</v>
      </c>
    </row>
    <row r="6148" spans="1:4" x14ac:dyDescent="0.25">
      <c r="A6148" t="s">
        <v>610</v>
      </c>
      <c r="B6148" t="s">
        <v>107</v>
      </c>
      <c r="C6148" s="2">
        <f>HYPERLINK("https://svao.dolgi.msk.ru/account/1760246622/", 1760246622)</f>
        <v>1760246622</v>
      </c>
      <c r="D6148">
        <v>2692.2</v>
      </c>
    </row>
    <row r="6149" spans="1:4" x14ac:dyDescent="0.25">
      <c r="A6149" t="s">
        <v>610</v>
      </c>
      <c r="B6149" t="s">
        <v>18</v>
      </c>
      <c r="C6149" s="2">
        <f>HYPERLINK("https://svao.dolgi.msk.ru/account/1760246681/", 1760246681)</f>
        <v>1760246681</v>
      </c>
      <c r="D6149">
        <v>5847.48</v>
      </c>
    </row>
    <row r="6150" spans="1:4" x14ac:dyDescent="0.25">
      <c r="A6150" t="s">
        <v>610</v>
      </c>
      <c r="B6150" t="s">
        <v>109</v>
      </c>
      <c r="C6150" s="2">
        <f>HYPERLINK("https://svao.dolgi.msk.ru/account/1760246729/", 1760246729)</f>
        <v>1760246729</v>
      </c>
      <c r="D6150">
        <v>4349.08</v>
      </c>
    </row>
    <row r="6151" spans="1:4" x14ac:dyDescent="0.25">
      <c r="A6151" t="s">
        <v>610</v>
      </c>
      <c r="B6151" t="s">
        <v>110</v>
      </c>
      <c r="C6151" s="2">
        <f>HYPERLINK("https://svao.dolgi.msk.ru/account/1760246737/", 1760246737)</f>
        <v>1760246737</v>
      </c>
      <c r="D6151">
        <v>1855.57</v>
      </c>
    </row>
    <row r="6152" spans="1:4" x14ac:dyDescent="0.25">
      <c r="A6152" t="s">
        <v>610</v>
      </c>
      <c r="B6152" t="s">
        <v>92</v>
      </c>
      <c r="C6152" s="2">
        <f>HYPERLINK("https://svao.dolgi.msk.ru/account/1760246761/", 1760246761)</f>
        <v>1760246761</v>
      </c>
      <c r="D6152">
        <v>3763.02</v>
      </c>
    </row>
    <row r="6153" spans="1:4" x14ac:dyDescent="0.25">
      <c r="A6153" t="s">
        <v>610</v>
      </c>
      <c r="B6153" t="s">
        <v>111</v>
      </c>
      <c r="C6153" s="2">
        <f>HYPERLINK("https://svao.dolgi.msk.ru/account/1760246796/", 1760246796)</f>
        <v>1760246796</v>
      </c>
      <c r="D6153">
        <v>3884.47</v>
      </c>
    </row>
    <row r="6154" spans="1:4" x14ac:dyDescent="0.25">
      <c r="A6154" t="s">
        <v>610</v>
      </c>
      <c r="B6154" t="s">
        <v>94</v>
      </c>
      <c r="C6154" s="2">
        <f>HYPERLINK("https://svao.dolgi.msk.ru/account/1760246809/", 1760246809)</f>
        <v>1760246809</v>
      </c>
      <c r="D6154">
        <v>2127.98</v>
      </c>
    </row>
    <row r="6155" spans="1:4" x14ac:dyDescent="0.25">
      <c r="A6155" t="s">
        <v>610</v>
      </c>
      <c r="B6155" t="s">
        <v>77</v>
      </c>
      <c r="C6155" s="2">
        <f>HYPERLINK("https://svao.dolgi.msk.ru/account/1760246841/", 1760246841)</f>
        <v>1760246841</v>
      </c>
      <c r="D6155">
        <v>3470.25</v>
      </c>
    </row>
    <row r="6156" spans="1:4" x14ac:dyDescent="0.25">
      <c r="A6156" t="s">
        <v>610</v>
      </c>
      <c r="B6156" t="s">
        <v>23</v>
      </c>
      <c r="C6156" s="2">
        <f>HYPERLINK("https://svao.dolgi.msk.ru/account/1760246905/", 1760246905)</f>
        <v>1760246905</v>
      </c>
      <c r="D6156">
        <v>10808.07</v>
      </c>
    </row>
    <row r="6157" spans="1:4" x14ac:dyDescent="0.25">
      <c r="A6157" t="s">
        <v>610</v>
      </c>
      <c r="B6157" t="s">
        <v>320</v>
      </c>
      <c r="C6157" s="2">
        <f>HYPERLINK("https://svao.dolgi.msk.ru/account/1760246956/", 1760246956)</f>
        <v>1760246956</v>
      </c>
      <c r="D6157">
        <v>5147.8900000000003</v>
      </c>
    </row>
    <row r="6158" spans="1:4" x14ac:dyDescent="0.25">
      <c r="A6158" t="s">
        <v>610</v>
      </c>
      <c r="B6158" t="s">
        <v>127</v>
      </c>
      <c r="C6158" s="2">
        <f>HYPERLINK("https://svao.dolgi.msk.ru/account/1760247086/", 1760247086)</f>
        <v>1760247086</v>
      </c>
      <c r="D6158">
        <v>3497.8</v>
      </c>
    </row>
    <row r="6159" spans="1:4" x14ac:dyDescent="0.25">
      <c r="A6159" t="s">
        <v>610</v>
      </c>
      <c r="B6159" t="s">
        <v>96</v>
      </c>
      <c r="C6159" s="2">
        <f>HYPERLINK("https://svao.dolgi.msk.ru/account/1760247211/", 1760247211)</f>
        <v>1760247211</v>
      </c>
      <c r="D6159">
        <v>6712.93</v>
      </c>
    </row>
    <row r="6160" spans="1:4" x14ac:dyDescent="0.25">
      <c r="A6160" t="s">
        <v>611</v>
      </c>
      <c r="B6160" t="s">
        <v>102</v>
      </c>
      <c r="C6160" s="2">
        <f>HYPERLINK("https://svao.dolgi.msk.ru/account/1760247297/", 1760247297)</f>
        <v>1760247297</v>
      </c>
      <c r="D6160">
        <v>7414.1</v>
      </c>
    </row>
    <row r="6161" spans="1:4" x14ac:dyDescent="0.25">
      <c r="A6161" t="s">
        <v>611</v>
      </c>
      <c r="B6161" t="s">
        <v>73</v>
      </c>
      <c r="C6161" s="2">
        <f>HYPERLINK("https://svao.dolgi.msk.ru/account/1760247326/", 1760247326)</f>
        <v>1760247326</v>
      </c>
      <c r="D6161">
        <v>331.5</v>
      </c>
    </row>
    <row r="6162" spans="1:4" x14ac:dyDescent="0.25">
      <c r="A6162" t="s">
        <v>611</v>
      </c>
      <c r="B6162" t="s">
        <v>8</v>
      </c>
      <c r="C6162" s="2">
        <f>HYPERLINK("https://svao.dolgi.msk.ru/account/1760247342/", 1760247342)</f>
        <v>1760247342</v>
      </c>
      <c r="D6162">
        <v>6095.38</v>
      </c>
    </row>
    <row r="6163" spans="1:4" x14ac:dyDescent="0.25">
      <c r="A6163" t="s">
        <v>611</v>
      </c>
      <c r="B6163" t="s">
        <v>137</v>
      </c>
      <c r="C6163" s="2">
        <f>HYPERLINK("https://svao.dolgi.msk.ru/account/1760247377/", 1760247377)</f>
        <v>1760247377</v>
      </c>
      <c r="D6163">
        <v>9186.0499999999993</v>
      </c>
    </row>
    <row r="6164" spans="1:4" x14ac:dyDescent="0.25">
      <c r="A6164" t="s">
        <v>611</v>
      </c>
      <c r="B6164" t="s">
        <v>9</v>
      </c>
      <c r="C6164" s="2">
        <f>HYPERLINK("https://svao.dolgi.msk.ru/account/1760247385/", 1760247385)</f>
        <v>1760247385</v>
      </c>
      <c r="D6164">
        <v>4000.16</v>
      </c>
    </row>
    <row r="6165" spans="1:4" x14ac:dyDescent="0.25">
      <c r="A6165" t="s">
        <v>611</v>
      </c>
      <c r="B6165" t="s">
        <v>75</v>
      </c>
      <c r="C6165" s="2">
        <f>HYPERLINK("https://svao.dolgi.msk.ru/account/1760247393/", 1760247393)</f>
        <v>1760247393</v>
      </c>
      <c r="D6165">
        <v>2761.09</v>
      </c>
    </row>
    <row r="6166" spans="1:4" x14ac:dyDescent="0.25">
      <c r="A6166" t="s">
        <v>611</v>
      </c>
      <c r="B6166" t="s">
        <v>10</v>
      </c>
      <c r="C6166" s="2">
        <f>HYPERLINK("https://svao.dolgi.msk.ru/account/1760260977/", 1760260977)</f>
        <v>1760260977</v>
      </c>
      <c r="D6166">
        <v>6157.99</v>
      </c>
    </row>
    <row r="6167" spans="1:4" x14ac:dyDescent="0.25">
      <c r="A6167" t="s">
        <v>611</v>
      </c>
      <c r="B6167" t="s">
        <v>11</v>
      </c>
      <c r="C6167" s="2">
        <f>HYPERLINK("https://svao.dolgi.msk.ru/account/1760247449/", 1760247449)</f>
        <v>1760247449</v>
      </c>
      <c r="D6167">
        <v>2451.5300000000002</v>
      </c>
    </row>
    <row r="6168" spans="1:4" x14ac:dyDescent="0.25">
      <c r="A6168" t="s">
        <v>611</v>
      </c>
      <c r="B6168" t="s">
        <v>14</v>
      </c>
      <c r="C6168" s="2">
        <f>HYPERLINK("https://svao.dolgi.msk.ru/account/1760247473/", 1760247473)</f>
        <v>1760247473</v>
      </c>
      <c r="D6168">
        <v>308.58</v>
      </c>
    </row>
    <row r="6169" spans="1:4" x14ac:dyDescent="0.25">
      <c r="A6169" t="s">
        <v>611</v>
      </c>
      <c r="B6169" t="s">
        <v>17</v>
      </c>
      <c r="C6169" s="2">
        <f>HYPERLINK("https://svao.dolgi.msk.ru/account/1760247553/", 1760247553)</f>
        <v>1760247553</v>
      </c>
      <c r="D6169">
        <v>10073.15</v>
      </c>
    </row>
    <row r="6170" spans="1:4" x14ac:dyDescent="0.25">
      <c r="A6170" t="s">
        <v>611</v>
      </c>
      <c r="B6170" t="s">
        <v>18</v>
      </c>
      <c r="C6170" s="2">
        <f>HYPERLINK("https://svao.dolgi.msk.ru/account/1760247561/", 1760247561)</f>
        <v>1760247561</v>
      </c>
      <c r="D6170">
        <v>38388.69</v>
      </c>
    </row>
    <row r="6171" spans="1:4" x14ac:dyDescent="0.25">
      <c r="A6171" t="s">
        <v>611</v>
      </c>
      <c r="B6171" t="s">
        <v>19</v>
      </c>
      <c r="C6171" s="2">
        <f>HYPERLINK("https://svao.dolgi.msk.ru/account/1760247588/", 1760247588)</f>
        <v>1760247588</v>
      </c>
      <c r="D6171">
        <v>5391.72</v>
      </c>
    </row>
    <row r="6172" spans="1:4" x14ac:dyDescent="0.25">
      <c r="A6172" t="s">
        <v>611</v>
      </c>
      <c r="B6172" t="s">
        <v>110</v>
      </c>
      <c r="C6172" s="2">
        <f>HYPERLINK("https://svao.dolgi.msk.ru/account/1760247609/", 1760247609)</f>
        <v>1760247609</v>
      </c>
      <c r="D6172">
        <v>3642.22</v>
      </c>
    </row>
    <row r="6173" spans="1:4" x14ac:dyDescent="0.25">
      <c r="A6173" t="s">
        <v>611</v>
      </c>
      <c r="B6173" t="s">
        <v>76</v>
      </c>
      <c r="C6173" s="2">
        <f>HYPERLINK("https://svao.dolgi.msk.ru/account/1760247625/", 1760247625)</f>
        <v>1760247625</v>
      </c>
      <c r="D6173">
        <v>3658.88</v>
      </c>
    </row>
    <row r="6174" spans="1:4" x14ac:dyDescent="0.25">
      <c r="A6174" t="s">
        <v>611</v>
      </c>
      <c r="B6174" t="s">
        <v>93</v>
      </c>
      <c r="C6174" s="2">
        <f>HYPERLINK("https://svao.dolgi.msk.ru/account/1760247641/", 1760247641)</f>
        <v>1760247641</v>
      </c>
      <c r="D6174">
        <v>3580.07</v>
      </c>
    </row>
    <row r="6175" spans="1:4" x14ac:dyDescent="0.25">
      <c r="A6175" t="s">
        <v>611</v>
      </c>
      <c r="B6175" t="s">
        <v>94</v>
      </c>
      <c r="C6175" s="2">
        <f>HYPERLINK("https://svao.dolgi.msk.ru/account/1760247676/", 1760247676)</f>
        <v>1760247676</v>
      </c>
      <c r="D6175">
        <v>94987.29</v>
      </c>
    </row>
    <row r="6176" spans="1:4" x14ac:dyDescent="0.25">
      <c r="A6176" t="s">
        <v>611</v>
      </c>
      <c r="B6176" t="s">
        <v>113</v>
      </c>
      <c r="C6176" s="2">
        <f>HYPERLINK("https://svao.dolgi.msk.ru/account/1760247692/", 1760247692)</f>
        <v>1760247692</v>
      </c>
      <c r="D6176">
        <v>3604.62</v>
      </c>
    </row>
    <row r="6177" spans="1:4" x14ac:dyDescent="0.25">
      <c r="A6177" t="s">
        <v>611</v>
      </c>
      <c r="B6177" t="s">
        <v>117</v>
      </c>
      <c r="C6177" s="2">
        <f>HYPERLINK("https://svao.dolgi.msk.ru/account/1760247801/", 1760247801)</f>
        <v>1760247801</v>
      </c>
      <c r="D6177">
        <v>576.70000000000005</v>
      </c>
    </row>
    <row r="6178" spans="1:4" x14ac:dyDescent="0.25">
      <c r="A6178" t="s">
        <v>611</v>
      </c>
      <c r="B6178" t="s">
        <v>314</v>
      </c>
      <c r="C6178" s="2">
        <f>HYPERLINK("https://svao.dolgi.msk.ru/account/1760247852/", 1760247852)</f>
        <v>1760247852</v>
      </c>
      <c r="D6178">
        <v>4521.16</v>
      </c>
    </row>
    <row r="6179" spans="1:4" x14ac:dyDescent="0.25">
      <c r="A6179" t="s">
        <v>611</v>
      </c>
      <c r="B6179" t="s">
        <v>242</v>
      </c>
      <c r="C6179" s="2">
        <f>HYPERLINK("https://svao.dolgi.msk.ru/account/1760247879/", 1760247879)</f>
        <v>1760247879</v>
      </c>
      <c r="D6179">
        <v>1673.36</v>
      </c>
    </row>
    <row r="6180" spans="1:4" x14ac:dyDescent="0.25">
      <c r="A6180" t="s">
        <v>611</v>
      </c>
      <c r="B6180" t="s">
        <v>95</v>
      </c>
      <c r="C6180" s="2">
        <f>HYPERLINK("https://svao.dolgi.msk.ru/account/1760247887/", 1760247887)</f>
        <v>1760247887</v>
      </c>
      <c r="D6180">
        <v>5265.31</v>
      </c>
    </row>
    <row r="6181" spans="1:4" x14ac:dyDescent="0.25">
      <c r="A6181" t="s">
        <v>611</v>
      </c>
      <c r="B6181" t="s">
        <v>131</v>
      </c>
      <c r="C6181" s="2">
        <f>HYPERLINK("https://svao.dolgi.msk.ru/account/1760247895/", 1760247895)</f>
        <v>1760247895</v>
      </c>
      <c r="D6181">
        <v>4460.12</v>
      </c>
    </row>
    <row r="6182" spans="1:4" x14ac:dyDescent="0.25">
      <c r="A6182" t="s">
        <v>611</v>
      </c>
      <c r="B6182" t="s">
        <v>127</v>
      </c>
      <c r="C6182" s="2">
        <f>HYPERLINK("https://svao.dolgi.msk.ru/account/1760247959/", 1760247959)</f>
        <v>1760247959</v>
      </c>
      <c r="D6182">
        <v>3599.97</v>
      </c>
    </row>
    <row r="6183" spans="1:4" x14ac:dyDescent="0.25">
      <c r="A6183" t="s">
        <v>611</v>
      </c>
      <c r="B6183" t="s">
        <v>119</v>
      </c>
      <c r="C6183" s="2">
        <f>HYPERLINK("https://svao.dolgi.msk.ru/account/1760247975/", 1760247975)</f>
        <v>1760247975</v>
      </c>
      <c r="D6183">
        <v>14789.86</v>
      </c>
    </row>
    <row r="6184" spans="1:4" x14ac:dyDescent="0.25">
      <c r="A6184" t="s">
        <v>611</v>
      </c>
      <c r="B6184" t="s">
        <v>82</v>
      </c>
      <c r="C6184" s="2">
        <f>HYPERLINK("https://svao.dolgi.msk.ru/account/1760247991/", 1760247991)</f>
        <v>1760247991</v>
      </c>
      <c r="D6184">
        <v>6119.01</v>
      </c>
    </row>
    <row r="6185" spans="1:4" x14ac:dyDescent="0.25">
      <c r="A6185" t="s">
        <v>611</v>
      </c>
      <c r="B6185" t="s">
        <v>132</v>
      </c>
      <c r="C6185" s="2">
        <f>HYPERLINK("https://svao.dolgi.msk.ru/account/1760248046/", 1760248046)</f>
        <v>1760248046</v>
      </c>
      <c r="D6185">
        <v>5319.01</v>
      </c>
    </row>
    <row r="6186" spans="1:4" x14ac:dyDescent="0.25">
      <c r="A6186" t="s">
        <v>611</v>
      </c>
      <c r="B6186" t="s">
        <v>26</v>
      </c>
      <c r="C6186" s="2">
        <f>HYPERLINK("https://svao.dolgi.msk.ru/account/1760248054/", 1760248054)</f>
        <v>1760248054</v>
      </c>
      <c r="D6186">
        <v>3646.84</v>
      </c>
    </row>
    <row r="6187" spans="1:4" x14ac:dyDescent="0.25">
      <c r="A6187" t="s">
        <v>611</v>
      </c>
      <c r="B6187" t="s">
        <v>96</v>
      </c>
      <c r="C6187" s="2">
        <f>HYPERLINK("https://svao.dolgi.msk.ru/account/1760248089/", 1760248089)</f>
        <v>1760248089</v>
      </c>
      <c r="D6187">
        <v>5731.34</v>
      </c>
    </row>
    <row r="6188" spans="1:4" x14ac:dyDescent="0.25">
      <c r="A6188" t="s">
        <v>612</v>
      </c>
      <c r="B6188" t="s">
        <v>6</v>
      </c>
      <c r="C6188" s="2">
        <f>HYPERLINK("https://svao.dolgi.msk.ru/account/1760248097/", 1760248097)</f>
        <v>1760248097</v>
      </c>
      <c r="D6188">
        <v>204841.21</v>
      </c>
    </row>
    <row r="6189" spans="1:4" x14ac:dyDescent="0.25">
      <c r="A6189" t="s">
        <v>612</v>
      </c>
      <c r="B6189" t="s">
        <v>41</v>
      </c>
      <c r="C6189" s="2">
        <f>HYPERLINK("https://svao.dolgi.msk.ru/account/1760248118/", 1760248118)</f>
        <v>1760248118</v>
      </c>
      <c r="D6189">
        <v>7882.99</v>
      </c>
    </row>
    <row r="6190" spans="1:4" x14ac:dyDescent="0.25">
      <c r="A6190" t="s">
        <v>612</v>
      </c>
      <c r="B6190" t="s">
        <v>101</v>
      </c>
      <c r="C6190" s="2">
        <f>HYPERLINK("https://svao.dolgi.msk.ru/account/1760248134/", 1760248134)</f>
        <v>1760248134</v>
      </c>
      <c r="D6190">
        <v>3918.27</v>
      </c>
    </row>
    <row r="6191" spans="1:4" x14ac:dyDescent="0.25">
      <c r="A6191" t="s">
        <v>612</v>
      </c>
      <c r="B6191" t="s">
        <v>141</v>
      </c>
      <c r="C6191" s="2">
        <f>HYPERLINK("https://svao.dolgi.msk.ru/account/1760248142/", 1760248142)</f>
        <v>1760248142</v>
      </c>
      <c r="D6191">
        <v>4646.0200000000004</v>
      </c>
    </row>
    <row r="6192" spans="1:4" x14ac:dyDescent="0.25">
      <c r="A6192" t="s">
        <v>612</v>
      </c>
      <c r="B6192" t="s">
        <v>73</v>
      </c>
      <c r="C6192" s="2">
        <f>HYPERLINK("https://svao.dolgi.msk.ru/account/1760248185/", 1760248185)</f>
        <v>1760248185</v>
      </c>
      <c r="D6192">
        <v>3713.5</v>
      </c>
    </row>
    <row r="6193" spans="1:4" x14ac:dyDescent="0.25">
      <c r="A6193" t="s">
        <v>612</v>
      </c>
      <c r="B6193" t="s">
        <v>8</v>
      </c>
      <c r="C6193" s="2">
        <f>HYPERLINK("https://svao.dolgi.msk.ru/account/1760248206/", 1760248206)</f>
        <v>1760248206</v>
      </c>
      <c r="D6193">
        <v>5800.7</v>
      </c>
    </row>
    <row r="6194" spans="1:4" x14ac:dyDescent="0.25">
      <c r="A6194" t="s">
        <v>612</v>
      </c>
      <c r="B6194" t="s">
        <v>91</v>
      </c>
      <c r="C6194" s="2">
        <f>HYPERLINK("https://svao.dolgi.msk.ru/account/1760248265/", 1760248265)</f>
        <v>1760248265</v>
      </c>
      <c r="D6194">
        <v>11559.19</v>
      </c>
    </row>
    <row r="6195" spans="1:4" x14ac:dyDescent="0.25">
      <c r="A6195" t="s">
        <v>612</v>
      </c>
      <c r="B6195" t="s">
        <v>10</v>
      </c>
      <c r="C6195" s="2">
        <f>HYPERLINK("https://svao.dolgi.msk.ru/account/1760248273/", 1760248273)</f>
        <v>1760248273</v>
      </c>
      <c r="D6195">
        <v>4094.65</v>
      </c>
    </row>
    <row r="6196" spans="1:4" x14ac:dyDescent="0.25">
      <c r="A6196" t="s">
        <v>612</v>
      </c>
      <c r="B6196" t="s">
        <v>15</v>
      </c>
      <c r="C6196" s="2">
        <f>HYPERLINK("https://svao.dolgi.msk.ru/account/1760248388/", 1760248388)</f>
        <v>1760248388</v>
      </c>
      <c r="D6196">
        <v>11113.98</v>
      </c>
    </row>
    <row r="6197" spans="1:4" x14ac:dyDescent="0.25">
      <c r="A6197" t="s">
        <v>612</v>
      </c>
      <c r="B6197" t="s">
        <v>20</v>
      </c>
      <c r="C6197" s="2">
        <f>HYPERLINK("https://svao.dolgi.msk.ru/account/1760248476/", 1760248476)</f>
        <v>1760248476</v>
      </c>
      <c r="D6197">
        <v>3367.09</v>
      </c>
    </row>
    <row r="6198" spans="1:4" x14ac:dyDescent="0.25">
      <c r="A6198" t="s">
        <v>612</v>
      </c>
      <c r="B6198" t="s">
        <v>76</v>
      </c>
      <c r="C6198" s="2">
        <f>HYPERLINK("https://svao.dolgi.msk.ru/account/1760248484/", 1760248484)</f>
        <v>1760248484</v>
      </c>
      <c r="D6198">
        <v>100</v>
      </c>
    </row>
    <row r="6199" spans="1:4" x14ac:dyDescent="0.25">
      <c r="A6199" t="s">
        <v>612</v>
      </c>
      <c r="B6199" t="s">
        <v>111</v>
      </c>
      <c r="C6199" s="2">
        <f>HYPERLINK("https://svao.dolgi.msk.ru/account/1760248513/", 1760248513)</f>
        <v>1760248513</v>
      </c>
      <c r="D6199">
        <v>230.47</v>
      </c>
    </row>
    <row r="6200" spans="1:4" x14ac:dyDescent="0.25">
      <c r="A6200" t="s">
        <v>612</v>
      </c>
      <c r="B6200" t="s">
        <v>112</v>
      </c>
      <c r="C6200" s="2">
        <f>HYPERLINK("https://svao.dolgi.msk.ru/account/1760248548/", 1760248548)</f>
        <v>1760248548</v>
      </c>
      <c r="D6200">
        <v>2554.04</v>
      </c>
    </row>
    <row r="6201" spans="1:4" x14ac:dyDescent="0.25">
      <c r="A6201" t="s">
        <v>612</v>
      </c>
      <c r="B6201" t="s">
        <v>113</v>
      </c>
      <c r="C6201" s="2">
        <f>HYPERLINK("https://svao.dolgi.msk.ru/account/1760248556/", 1760248556)</f>
        <v>1760248556</v>
      </c>
      <c r="D6201">
        <v>1789.55</v>
      </c>
    </row>
    <row r="6202" spans="1:4" x14ac:dyDescent="0.25">
      <c r="A6202" t="s">
        <v>612</v>
      </c>
      <c r="B6202" t="s">
        <v>21</v>
      </c>
      <c r="C6202" s="2">
        <f>HYPERLINK("https://svao.dolgi.msk.ru/account/1760248564/", 1760248564)</f>
        <v>1760248564</v>
      </c>
      <c r="D6202">
        <v>4173.96</v>
      </c>
    </row>
    <row r="6203" spans="1:4" x14ac:dyDescent="0.25">
      <c r="A6203" t="s">
        <v>612</v>
      </c>
      <c r="B6203" t="s">
        <v>22</v>
      </c>
      <c r="C6203" s="2">
        <f>HYPERLINK("https://svao.dolgi.msk.ru/account/1760248628/", 1760248628)</f>
        <v>1760248628</v>
      </c>
      <c r="D6203">
        <v>6165.47</v>
      </c>
    </row>
    <row r="6204" spans="1:4" x14ac:dyDescent="0.25">
      <c r="A6204" t="s">
        <v>612</v>
      </c>
      <c r="B6204" t="s">
        <v>117</v>
      </c>
      <c r="C6204" s="2">
        <f>HYPERLINK("https://svao.dolgi.msk.ru/account/1760248679/", 1760248679)</f>
        <v>1760248679</v>
      </c>
      <c r="D6204">
        <v>4421.96</v>
      </c>
    </row>
    <row r="6205" spans="1:4" x14ac:dyDescent="0.25">
      <c r="A6205" t="s">
        <v>612</v>
      </c>
      <c r="B6205" t="s">
        <v>115</v>
      </c>
      <c r="C6205" s="2">
        <f>HYPERLINK("https://svao.dolgi.msk.ru/account/1760248687/", 1760248687)</f>
        <v>1760248687</v>
      </c>
      <c r="D6205">
        <v>272.86</v>
      </c>
    </row>
    <row r="6206" spans="1:4" x14ac:dyDescent="0.25">
      <c r="A6206" t="s">
        <v>612</v>
      </c>
      <c r="B6206" t="s">
        <v>320</v>
      </c>
      <c r="C6206" s="2">
        <f>HYPERLINK("https://svao.dolgi.msk.ru/account/1760248695/", 1760248695)</f>
        <v>1760248695</v>
      </c>
      <c r="D6206">
        <v>3240.25</v>
      </c>
    </row>
    <row r="6207" spans="1:4" x14ac:dyDescent="0.25">
      <c r="A6207" t="s">
        <v>612</v>
      </c>
      <c r="B6207" t="s">
        <v>242</v>
      </c>
      <c r="C6207" s="2">
        <f>HYPERLINK("https://svao.dolgi.msk.ru/account/1760248724/", 1760248724)</f>
        <v>1760248724</v>
      </c>
      <c r="D6207">
        <v>3163.03</v>
      </c>
    </row>
    <row r="6208" spans="1:4" x14ac:dyDescent="0.25">
      <c r="A6208" t="s">
        <v>612</v>
      </c>
      <c r="B6208" t="s">
        <v>131</v>
      </c>
      <c r="C6208" s="2">
        <f>HYPERLINK("https://svao.dolgi.msk.ru/account/1760248759/", 1760248759)</f>
        <v>1760248759</v>
      </c>
      <c r="D6208">
        <v>24414.07</v>
      </c>
    </row>
    <row r="6209" spans="1:4" x14ac:dyDescent="0.25">
      <c r="A6209" t="s">
        <v>612</v>
      </c>
      <c r="B6209" t="s">
        <v>126</v>
      </c>
      <c r="C6209" s="2">
        <f>HYPERLINK("https://svao.dolgi.msk.ru/account/1760248775/", 1760248775)</f>
        <v>1760248775</v>
      </c>
      <c r="D6209">
        <v>100.52</v>
      </c>
    </row>
    <row r="6210" spans="1:4" x14ac:dyDescent="0.25">
      <c r="A6210" t="s">
        <v>612</v>
      </c>
      <c r="B6210" t="s">
        <v>132</v>
      </c>
      <c r="C6210" s="2">
        <f>HYPERLINK("https://svao.dolgi.msk.ru/account/1760248919/", 1760248919)</f>
        <v>1760248919</v>
      </c>
      <c r="D6210">
        <v>5949.23</v>
      </c>
    </row>
    <row r="6211" spans="1:4" x14ac:dyDescent="0.25">
      <c r="A6211" t="s">
        <v>612</v>
      </c>
      <c r="B6211" t="s">
        <v>96</v>
      </c>
      <c r="C6211" s="2">
        <f>HYPERLINK("https://svao.dolgi.msk.ru/account/1760248943/", 1760248943)</f>
        <v>1760248943</v>
      </c>
      <c r="D6211">
        <v>42878.57</v>
      </c>
    </row>
    <row r="6212" spans="1:4" x14ac:dyDescent="0.25">
      <c r="A6212" t="s">
        <v>613</v>
      </c>
      <c r="B6212" t="s">
        <v>101</v>
      </c>
      <c r="C6212" s="2">
        <f>HYPERLINK("https://svao.dolgi.msk.ru/account/1760248994/", 1760248994)</f>
        <v>1760248994</v>
      </c>
      <c r="D6212">
        <v>2051.54</v>
      </c>
    </row>
    <row r="6213" spans="1:4" x14ac:dyDescent="0.25">
      <c r="A6213" t="s">
        <v>613</v>
      </c>
      <c r="B6213" t="s">
        <v>73</v>
      </c>
      <c r="C6213" s="2">
        <f>HYPERLINK("https://svao.dolgi.msk.ru/account/1760249049/", 1760249049)</f>
        <v>1760249049</v>
      </c>
      <c r="D6213">
        <v>3066.01</v>
      </c>
    </row>
    <row r="6214" spans="1:4" x14ac:dyDescent="0.25">
      <c r="A6214" t="s">
        <v>613</v>
      </c>
      <c r="B6214" t="s">
        <v>74</v>
      </c>
      <c r="C6214" s="2">
        <f>HYPERLINK("https://svao.dolgi.msk.ru/account/1760249073/", 1760249073)</f>
        <v>1760249073</v>
      </c>
      <c r="D6214">
        <v>4029.57</v>
      </c>
    </row>
    <row r="6215" spans="1:4" x14ac:dyDescent="0.25">
      <c r="A6215" t="s">
        <v>613</v>
      </c>
      <c r="B6215" t="s">
        <v>10</v>
      </c>
      <c r="C6215" s="2">
        <f>HYPERLINK("https://svao.dolgi.msk.ru/account/1760249145/", 1760249145)</f>
        <v>1760249145</v>
      </c>
      <c r="D6215">
        <v>518.63</v>
      </c>
    </row>
    <row r="6216" spans="1:4" x14ac:dyDescent="0.25">
      <c r="A6216" t="s">
        <v>613</v>
      </c>
      <c r="B6216" t="s">
        <v>219</v>
      </c>
      <c r="C6216" s="2">
        <f>HYPERLINK("https://svao.dolgi.msk.ru/account/1760249153/", 1760249153)</f>
        <v>1760249153</v>
      </c>
      <c r="D6216">
        <v>3287.77</v>
      </c>
    </row>
    <row r="6217" spans="1:4" x14ac:dyDescent="0.25">
      <c r="A6217" t="s">
        <v>613</v>
      </c>
      <c r="B6217" t="s">
        <v>14</v>
      </c>
      <c r="C6217" s="2">
        <f>HYPERLINK("https://svao.dolgi.msk.ru/account/1760249209/", 1760249209)</f>
        <v>1760249209</v>
      </c>
      <c r="D6217">
        <v>3241.23</v>
      </c>
    </row>
    <row r="6218" spans="1:4" x14ac:dyDescent="0.25">
      <c r="A6218" t="s">
        <v>613</v>
      </c>
      <c r="B6218" t="s">
        <v>108</v>
      </c>
      <c r="C6218" s="2">
        <f>HYPERLINK("https://svao.dolgi.msk.ru/account/1760249241/", 1760249241)</f>
        <v>1760249241</v>
      </c>
      <c r="D6218">
        <v>12468.76</v>
      </c>
    </row>
    <row r="6219" spans="1:4" x14ac:dyDescent="0.25">
      <c r="A6219" t="s">
        <v>613</v>
      </c>
      <c r="B6219" t="s">
        <v>16</v>
      </c>
      <c r="C6219" s="2">
        <f>HYPERLINK("https://svao.dolgi.msk.ru/account/1760249268/", 1760249268)</f>
        <v>1760249268</v>
      </c>
      <c r="D6219">
        <v>82889.86</v>
      </c>
    </row>
    <row r="6220" spans="1:4" x14ac:dyDescent="0.25">
      <c r="A6220" t="s">
        <v>613</v>
      </c>
      <c r="B6220" t="s">
        <v>18</v>
      </c>
      <c r="C6220" s="2">
        <f>HYPERLINK("https://svao.dolgi.msk.ru/account/1760249284/", 1760249284)</f>
        <v>1760249284</v>
      </c>
      <c r="D6220">
        <v>8617.74</v>
      </c>
    </row>
    <row r="6221" spans="1:4" x14ac:dyDescent="0.25">
      <c r="A6221" t="s">
        <v>613</v>
      </c>
      <c r="B6221" t="s">
        <v>110</v>
      </c>
      <c r="C6221" s="2">
        <f>HYPERLINK("https://svao.dolgi.msk.ru/account/1760249313/", 1760249313)</f>
        <v>1760249313</v>
      </c>
      <c r="D6221">
        <v>2594.52</v>
      </c>
    </row>
    <row r="6222" spans="1:4" x14ac:dyDescent="0.25">
      <c r="A6222" t="s">
        <v>613</v>
      </c>
      <c r="B6222" t="s">
        <v>93</v>
      </c>
      <c r="C6222" s="2">
        <f>HYPERLINK("https://svao.dolgi.msk.ru/account/1760249364/", 1760249364)</f>
        <v>1760249364</v>
      </c>
      <c r="D6222">
        <v>3103.46</v>
      </c>
    </row>
    <row r="6223" spans="1:4" x14ac:dyDescent="0.25">
      <c r="A6223" t="s">
        <v>613</v>
      </c>
      <c r="B6223" t="s">
        <v>111</v>
      </c>
      <c r="C6223" s="2">
        <f>HYPERLINK("https://svao.dolgi.msk.ru/account/1760249372/", 1760249372)</f>
        <v>1760249372</v>
      </c>
      <c r="D6223">
        <v>4080.26</v>
      </c>
    </row>
    <row r="6224" spans="1:4" x14ac:dyDescent="0.25">
      <c r="A6224" t="s">
        <v>613</v>
      </c>
      <c r="B6224" t="s">
        <v>112</v>
      </c>
      <c r="C6224" s="2">
        <f>HYPERLINK("https://svao.dolgi.msk.ru/account/1760249401/", 1760249401)</f>
        <v>1760249401</v>
      </c>
      <c r="D6224">
        <v>5028.05</v>
      </c>
    </row>
    <row r="6225" spans="1:4" x14ac:dyDescent="0.25">
      <c r="A6225" t="s">
        <v>613</v>
      </c>
      <c r="B6225" t="s">
        <v>78</v>
      </c>
      <c r="C6225" s="2">
        <f>HYPERLINK("https://svao.dolgi.msk.ru/account/1760249479/", 1760249479)</f>
        <v>1760249479</v>
      </c>
      <c r="D6225">
        <v>3509.67</v>
      </c>
    </row>
    <row r="6226" spans="1:4" x14ac:dyDescent="0.25">
      <c r="A6226" t="s">
        <v>613</v>
      </c>
      <c r="B6226" t="s">
        <v>23</v>
      </c>
      <c r="C6226" s="2">
        <f>HYPERLINK("https://svao.dolgi.msk.ru/account/1760249508/", 1760249508)</f>
        <v>1760249508</v>
      </c>
      <c r="D6226">
        <v>2856</v>
      </c>
    </row>
    <row r="6227" spans="1:4" x14ac:dyDescent="0.25">
      <c r="A6227" t="s">
        <v>613</v>
      </c>
      <c r="B6227" t="s">
        <v>24</v>
      </c>
      <c r="C6227" s="2">
        <f>HYPERLINK("https://svao.dolgi.msk.ru/account/1760249567/", 1760249567)</f>
        <v>1760249567</v>
      </c>
      <c r="D6227">
        <v>1971.77</v>
      </c>
    </row>
    <row r="6228" spans="1:4" x14ac:dyDescent="0.25">
      <c r="A6228" t="s">
        <v>613</v>
      </c>
      <c r="B6228" t="s">
        <v>95</v>
      </c>
      <c r="C6228" s="2">
        <f>HYPERLINK("https://svao.dolgi.msk.ru/account/1760249591/", 1760249591)</f>
        <v>1760249591</v>
      </c>
      <c r="D6228">
        <v>4253.78</v>
      </c>
    </row>
    <row r="6229" spans="1:4" x14ac:dyDescent="0.25">
      <c r="A6229" t="s">
        <v>613</v>
      </c>
      <c r="B6229" t="s">
        <v>80</v>
      </c>
      <c r="C6229" s="2">
        <f>HYPERLINK("https://svao.dolgi.msk.ru/account/1760249647/", 1760249647)</f>
        <v>1760249647</v>
      </c>
      <c r="D6229">
        <v>5224.82</v>
      </c>
    </row>
    <row r="6230" spans="1:4" x14ac:dyDescent="0.25">
      <c r="A6230" t="s">
        <v>613</v>
      </c>
      <c r="B6230" t="s">
        <v>81</v>
      </c>
      <c r="C6230" s="2">
        <f>HYPERLINK("https://svao.dolgi.msk.ru/account/1760249671/", 1760249671)</f>
        <v>1760249671</v>
      </c>
      <c r="D6230">
        <v>11098.8</v>
      </c>
    </row>
    <row r="6231" spans="1:4" x14ac:dyDescent="0.25">
      <c r="A6231" t="s">
        <v>613</v>
      </c>
      <c r="B6231" t="s">
        <v>119</v>
      </c>
      <c r="C6231" s="2">
        <f>HYPERLINK("https://svao.dolgi.msk.ru/account/1760249698/", 1760249698)</f>
        <v>1760249698</v>
      </c>
      <c r="D6231">
        <v>2348.75</v>
      </c>
    </row>
    <row r="6232" spans="1:4" x14ac:dyDescent="0.25">
      <c r="A6232" t="s">
        <v>613</v>
      </c>
      <c r="B6232" t="s">
        <v>128</v>
      </c>
      <c r="C6232" s="2">
        <f>HYPERLINK("https://svao.dolgi.msk.ru/account/1760249735/", 1760249735)</f>
        <v>1760249735</v>
      </c>
      <c r="D6232">
        <v>4846.68</v>
      </c>
    </row>
    <row r="6233" spans="1:4" x14ac:dyDescent="0.25">
      <c r="A6233" t="s">
        <v>613</v>
      </c>
      <c r="B6233" t="s">
        <v>96</v>
      </c>
      <c r="C6233" s="2">
        <f>HYPERLINK("https://svao.dolgi.msk.ru/account/1760249807/", 1760249807)</f>
        <v>1760249807</v>
      </c>
      <c r="D6233">
        <v>3361.66</v>
      </c>
    </row>
    <row r="6234" spans="1:4" x14ac:dyDescent="0.25">
      <c r="A6234" t="s">
        <v>614</v>
      </c>
      <c r="B6234" t="s">
        <v>41</v>
      </c>
      <c r="C6234" s="2">
        <f>HYPERLINK("https://svao.dolgi.msk.ru/account/1760021087/", 1760021087)</f>
        <v>1760021087</v>
      </c>
      <c r="D6234">
        <v>2071.88</v>
      </c>
    </row>
    <row r="6235" spans="1:4" x14ac:dyDescent="0.25">
      <c r="A6235" t="s">
        <v>614</v>
      </c>
      <c r="B6235" t="s">
        <v>5</v>
      </c>
      <c r="C6235" s="2">
        <f>HYPERLINK("https://svao.dolgi.msk.ru/account/1760021095/", 1760021095)</f>
        <v>1760021095</v>
      </c>
      <c r="D6235">
        <v>6639.86</v>
      </c>
    </row>
    <row r="6236" spans="1:4" x14ac:dyDescent="0.25">
      <c r="A6236" t="s">
        <v>614</v>
      </c>
      <c r="B6236" t="s">
        <v>103</v>
      </c>
      <c r="C6236" s="2">
        <f>HYPERLINK("https://svao.dolgi.msk.ru/account/1760021175/", 1760021175)</f>
        <v>1760021175</v>
      </c>
      <c r="D6236">
        <v>3697.38</v>
      </c>
    </row>
    <row r="6237" spans="1:4" x14ac:dyDescent="0.25">
      <c r="A6237" t="s">
        <v>614</v>
      </c>
      <c r="B6237" t="s">
        <v>73</v>
      </c>
      <c r="C6237" s="2">
        <f>HYPERLINK("https://svao.dolgi.msk.ru/account/1760021183/", 1760021183)</f>
        <v>1760021183</v>
      </c>
      <c r="D6237">
        <v>1573.17</v>
      </c>
    </row>
    <row r="6238" spans="1:4" x14ac:dyDescent="0.25">
      <c r="A6238" t="s">
        <v>614</v>
      </c>
      <c r="B6238" t="s">
        <v>73</v>
      </c>
      <c r="C6238" s="2">
        <f>HYPERLINK("https://svao.dolgi.msk.ru/account/1760021191/", 1760021191)</f>
        <v>1760021191</v>
      </c>
      <c r="D6238">
        <v>1692.79</v>
      </c>
    </row>
    <row r="6239" spans="1:4" x14ac:dyDescent="0.25">
      <c r="A6239" t="s">
        <v>614</v>
      </c>
      <c r="B6239" t="s">
        <v>104</v>
      </c>
      <c r="C6239" s="2">
        <f>HYPERLINK("https://svao.dolgi.msk.ru/account/1760021204/", 1760021204)</f>
        <v>1760021204</v>
      </c>
      <c r="D6239">
        <v>14273.45</v>
      </c>
    </row>
    <row r="6240" spans="1:4" x14ac:dyDescent="0.25">
      <c r="A6240" t="s">
        <v>614</v>
      </c>
      <c r="B6240" t="s">
        <v>8</v>
      </c>
      <c r="C6240" s="2">
        <f>HYPERLINK("https://svao.dolgi.msk.ru/account/1760021212/", 1760021212)</f>
        <v>1760021212</v>
      </c>
      <c r="D6240">
        <v>3571.14</v>
      </c>
    </row>
    <row r="6241" spans="1:4" x14ac:dyDescent="0.25">
      <c r="A6241" t="s">
        <v>614</v>
      </c>
      <c r="B6241" t="s">
        <v>75</v>
      </c>
      <c r="C6241" s="2">
        <f>HYPERLINK("https://svao.dolgi.msk.ru/account/1760021263/", 1760021263)</f>
        <v>1760021263</v>
      </c>
      <c r="D6241">
        <v>4561.3999999999996</v>
      </c>
    </row>
    <row r="6242" spans="1:4" x14ac:dyDescent="0.25">
      <c r="A6242" t="s">
        <v>614</v>
      </c>
      <c r="B6242" t="s">
        <v>91</v>
      </c>
      <c r="C6242" s="2">
        <f>HYPERLINK("https://svao.dolgi.msk.ru/account/1760021271/", 1760021271)</f>
        <v>1760021271</v>
      </c>
      <c r="D6242">
        <v>5880.54</v>
      </c>
    </row>
    <row r="6243" spans="1:4" x14ac:dyDescent="0.25">
      <c r="A6243" t="s">
        <v>614</v>
      </c>
      <c r="B6243" t="s">
        <v>10</v>
      </c>
      <c r="C6243" s="2">
        <f>HYPERLINK("https://svao.dolgi.msk.ru/account/1760021298/", 1760021298)</f>
        <v>1760021298</v>
      </c>
      <c r="D6243">
        <v>296.36</v>
      </c>
    </row>
    <row r="6244" spans="1:4" x14ac:dyDescent="0.25">
      <c r="A6244" t="s">
        <v>614</v>
      </c>
      <c r="B6244" t="s">
        <v>13</v>
      </c>
      <c r="C6244" s="2">
        <f>HYPERLINK("https://svao.dolgi.msk.ru/account/1760021351/", 1760021351)</f>
        <v>1760021351</v>
      </c>
      <c r="D6244">
        <v>1953.04</v>
      </c>
    </row>
    <row r="6245" spans="1:4" x14ac:dyDescent="0.25">
      <c r="A6245" t="s">
        <v>614</v>
      </c>
      <c r="B6245" t="s">
        <v>16</v>
      </c>
      <c r="C6245" s="2">
        <f>HYPERLINK("https://svao.dolgi.msk.ru/account/1760021466/", 1760021466)</f>
        <v>1760021466</v>
      </c>
      <c r="D6245">
        <v>5329.69</v>
      </c>
    </row>
    <row r="6246" spans="1:4" x14ac:dyDescent="0.25">
      <c r="A6246" t="s">
        <v>614</v>
      </c>
      <c r="B6246" t="s">
        <v>76</v>
      </c>
      <c r="C6246" s="2">
        <f>HYPERLINK("https://svao.dolgi.msk.ru/account/1760021554/", 1760021554)</f>
        <v>1760021554</v>
      </c>
      <c r="D6246">
        <v>882.05</v>
      </c>
    </row>
    <row r="6247" spans="1:4" x14ac:dyDescent="0.25">
      <c r="A6247" t="s">
        <v>614</v>
      </c>
      <c r="B6247" t="s">
        <v>92</v>
      </c>
      <c r="C6247" s="2">
        <f>HYPERLINK("https://svao.dolgi.msk.ru/account/1760021562/", 1760021562)</f>
        <v>1760021562</v>
      </c>
      <c r="D6247">
        <v>2401.75</v>
      </c>
    </row>
    <row r="6248" spans="1:4" x14ac:dyDescent="0.25">
      <c r="A6248" t="s">
        <v>614</v>
      </c>
      <c r="B6248" t="s">
        <v>93</v>
      </c>
      <c r="C6248" s="2">
        <f>HYPERLINK("https://svao.dolgi.msk.ru/account/1760021589/", 1760021589)</f>
        <v>1760021589</v>
      </c>
      <c r="D6248">
        <v>9705.68</v>
      </c>
    </row>
    <row r="6249" spans="1:4" x14ac:dyDescent="0.25">
      <c r="A6249" t="s">
        <v>614</v>
      </c>
      <c r="B6249" t="s">
        <v>93</v>
      </c>
      <c r="C6249" s="2">
        <f>HYPERLINK("https://svao.dolgi.msk.ru/account/1761795711/", 1761795711)</f>
        <v>1761795711</v>
      </c>
      <c r="D6249">
        <v>1192.29</v>
      </c>
    </row>
    <row r="6250" spans="1:4" x14ac:dyDescent="0.25">
      <c r="A6250" t="s">
        <v>614</v>
      </c>
      <c r="B6250" t="s">
        <v>21</v>
      </c>
      <c r="C6250" s="2">
        <f>HYPERLINK("https://svao.dolgi.msk.ru/account/1760021677/", 1760021677)</f>
        <v>1760021677</v>
      </c>
      <c r="D6250">
        <v>2755.04</v>
      </c>
    </row>
    <row r="6251" spans="1:4" x14ac:dyDescent="0.25">
      <c r="A6251" t="s">
        <v>614</v>
      </c>
      <c r="B6251" t="s">
        <v>22</v>
      </c>
      <c r="C6251" s="2">
        <f>HYPERLINK("https://svao.dolgi.msk.ru/account/1760021714/", 1760021714)</f>
        <v>1760021714</v>
      </c>
      <c r="D6251">
        <v>7105.21</v>
      </c>
    </row>
    <row r="6252" spans="1:4" x14ac:dyDescent="0.25">
      <c r="A6252" t="s">
        <v>614</v>
      </c>
      <c r="B6252" t="s">
        <v>79</v>
      </c>
      <c r="C6252" s="2">
        <f>HYPERLINK("https://svao.dolgi.msk.ru/account/1760021749/", 1760021749)</f>
        <v>1760021749</v>
      </c>
      <c r="D6252">
        <v>8350.5</v>
      </c>
    </row>
    <row r="6253" spans="1:4" x14ac:dyDescent="0.25">
      <c r="A6253" t="s">
        <v>614</v>
      </c>
      <c r="B6253" t="s">
        <v>23</v>
      </c>
      <c r="C6253" s="2">
        <f>HYPERLINK("https://svao.dolgi.msk.ru/account/1760021765/", 1760021765)</f>
        <v>1760021765</v>
      </c>
      <c r="D6253">
        <v>516090.51</v>
      </c>
    </row>
    <row r="6254" spans="1:4" x14ac:dyDescent="0.25">
      <c r="A6254" t="s">
        <v>614</v>
      </c>
      <c r="B6254" t="s">
        <v>124</v>
      </c>
      <c r="C6254" s="2">
        <f>HYPERLINK("https://svao.dolgi.msk.ru/account/1760021773/", 1760021773)</f>
        <v>1760021773</v>
      </c>
      <c r="D6254">
        <v>76596.58</v>
      </c>
    </row>
    <row r="6255" spans="1:4" x14ac:dyDescent="0.25">
      <c r="A6255" t="s">
        <v>614</v>
      </c>
      <c r="B6255" t="s">
        <v>24</v>
      </c>
      <c r="C6255" s="2">
        <f>HYPERLINK("https://svao.dolgi.msk.ru/account/1760021853/", 1760021853)</f>
        <v>1760021853</v>
      </c>
      <c r="D6255">
        <v>5188.9799999999996</v>
      </c>
    </row>
    <row r="6256" spans="1:4" x14ac:dyDescent="0.25">
      <c r="A6256" t="s">
        <v>614</v>
      </c>
      <c r="B6256" t="s">
        <v>242</v>
      </c>
      <c r="C6256" s="2">
        <f>HYPERLINK("https://svao.dolgi.msk.ru/account/1760021888/", 1760021888)</f>
        <v>1760021888</v>
      </c>
      <c r="D6256">
        <v>9521.61</v>
      </c>
    </row>
    <row r="6257" spans="1:4" x14ac:dyDescent="0.25">
      <c r="A6257" t="s">
        <v>614</v>
      </c>
      <c r="B6257" t="s">
        <v>131</v>
      </c>
      <c r="C6257" s="2">
        <f>HYPERLINK("https://svao.dolgi.msk.ru/account/1760021917/", 1760021917)</f>
        <v>1760021917</v>
      </c>
      <c r="D6257">
        <v>2881.07</v>
      </c>
    </row>
    <row r="6258" spans="1:4" x14ac:dyDescent="0.25">
      <c r="A6258" t="s">
        <v>614</v>
      </c>
      <c r="B6258" t="s">
        <v>126</v>
      </c>
      <c r="C6258" s="2">
        <f>HYPERLINK("https://svao.dolgi.msk.ru/account/1760021968/", 1760021968)</f>
        <v>1760021968</v>
      </c>
      <c r="D6258">
        <v>201.27</v>
      </c>
    </row>
    <row r="6259" spans="1:4" x14ac:dyDescent="0.25">
      <c r="A6259" t="s">
        <v>614</v>
      </c>
      <c r="B6259" t="s">
        <v>80</v>
      </c>
      <c r="C6259" s="2">
        <f>HYPERLINK("https://svao.dolgi.msk.ru/account/1760021984/", 1760021984)</f>
        <v>1760021984</v>
      </c>
      <c r="D6259">
        <v>3637.76</v>
      </c>
    </row>
    <row r="6260" spans="1:4" x14ac:dyDescent="0.25">
      <c r="A6260" t="s">
        <v>614</v>
      </c>
      <c r="B6260" t="s">
        <v>118</v>
      </c>
      <c r="C6260" s="2">
        <f>HYPERLINK("https://svao.dolgi.msk.ru/account/1760021992/", 1760021992)</f>
        <v>1760021992</v>
      </c>
      <c r="D6260">
        <v>6196.85</v>
      </c>
    </row>
    <row r="6261" spans="1:4" x14ac:dyDescent="0.25">
      <c r="A6261" t="s">
        <v>615</v>
      </c>
      <c r="B6261" t="s">
        <v>41</v>
      </c>
      <c r="C6261" s="2">
        <f>HYPERLINK("https://svao.dolgi.msk.ru/account/1768011772/", 1768011772)</f>
        <v>1768011772</v>
      </c>
      <c r="D6261">
        <v>5857.07</v>
      </c>
    </row>
    <row r="6262" spans="1:4" x14ac:dyDescent="0.25">
      <c r="A6262" t="s">
        <v>615</v>
      </c>
      <c r="B6262" t="s">
        <v>101</v>
      </c>
      <c r="C6262" s="2">
        <f>HYPERLINK("https://svao.dolgi.msk.ru/account/1768011828/", 1768011828)</f>
        <v>1768011828</v>
      </c>
      <c r="D6262">
        <v>11703.9</v>
      </c>
    </row>
    <row r="6263" spans="1:4" x14ac:dyDescent="0.25">
      <c r="A6263" t="s">
        <v>615</v>
      </c>
      <c r="B6263" t="s">
        <v>104</v>
      </c>
      <c r="C6263" s="2">
        <f>HYPERLINK("https://svao.dolgi.msk.ru/account/1768011879/", 1768011879)</f>
        <v>1768011879</v>
      </c>
      <c r="D6263">
        <v>4453.62</v>
      </c>
    </row>
    <row r="6264" spans="1:4" x14ac:dyDescent="0.25">
      <c r="A6264" t="s">
        <v>615</v>
      </c>
      <c r="B6264" t="s">
        <v>219</v>
      </c>
      <c r="C6264" s="2">
        <f>HYPERLINK("https://svao.dolgi.msk.ru/account/1768011908/", 1768011908)</f>
        <v>1768011908</v>
      </c>
      <c r="D6264">
        <v>3906.04</v>
      </c>
    </row>
    <row r="6265" spans="1:4" x14ac:dyDescent="0.25">
      <c r="A6265" t="s">
        <v>615</v>
      </c>
      <c r="B6265" t="s">
        <v>11</v>
      </c>
      <c r="C6265" s="2">
        <f>HYPERLINK("https://svao.dolgi.msk.ru/account/1768005751/", 1768005751)</f>
        <v>1768005751</v>
      </c>
      <c r="D6265">
        <v>4163.01</v>
      </c>
    </row>
    <row r="6266" spans="1:4" x14ac:dyDescent="0.25">
      <c r="A6266" t="s">
        <v>615</v>
      </c>
      <c r="B6266" t="s">
        <v>106</v>
      </c>
      <c r="C6266" s="2">
        <f>HYPERLINK("https://svao.dolgi.msk.ru/account/1768011959/", 1768011959)</f>
        <v>1768011959</v>
      </c>
      <c r="D6266">
        <v>9904.24</v>
      </c>
    </row>
    <row r="6267" spans="1:4" x14ac:dyDescent="0.25">
      <c r="A6267" t="s">
        <v>615</v>
      </c>
      <c r="B6267" t="s">
        <v>108</v>
      </c>
      <c r="C6267" s="2">
        <f>HYPERLINK("https://svao.dolgi.msk.ru/account/1768011975/", 1768011975)</f>
        <v>1768011975</v>
      </c>
      <c r="D6267">
        <v>301.39999999999998</v>
      </c>
    </row>
    <row r="6268" spans="1:4" x14ac:dyDescent="0.25">
      <c r="A6268" t="s">
        <v>615</v>
      </c>
      <c r="B6268" t="s">
        <v>92</v>
      </c>
      <c r="C6268" s="2">
        <f>HYPERLINK("https://svao.dolgi.msk.ru/account/1768012054/", 1768012054)</f>
        <v>1768012054</v>
      </c>
      <c r="D6268">
        <v>4343.88</v>
      </c>
    </row>
    <row r="6269" spans="1:4" x14ac:dyDescent="0.25">
      <c r="A6269" t="s">
        <v>615</v>
      </c>
      <c r="B6269" t="s">
        <v>93</v>
      </c>
      <c r="C6269" s="2">
        <f>HYPERLINK("https://svao.dolgi.msk.ru/account/1768005743/", 1768005743)</f>
        <v>1768005743</v>
      </c>
      <c r="D6269">
        <v>5956.11</v>
      </c>
    </row>
    <row r="6270" spans="1:4" x14ac:dyDescent="0.25">
      <c r="A6270" t="s">
        <v>615</v>
      </c>
      <c r="B6270" t="s">
        <v>79</v>
      </c>
      <c r="C6270" s="2">
        <f>HYPERLINK("https://svao.dolgi.msk.ru/account/1768012185/", 1768012185)</f>
        <v>1768012185</v>
      </c>
      <c r="D6270">
        <v>4432.63</v>
      </c>
    </row>
    <row r="6271" spans="1:4" x14ac:dyDescent="0.25">
      <c r="A6271" t="s">
        <v>615</v>
      </c>
      <c r="B6271" t="s">
        <v>23</v>
      </c>
      <c r="C6271" s="2">
        <f>HYPERLINK("https://svao.dolgi.msk.ru/account/1768012193/", 1768012193)</f>
        <v>1768012193</v>
      </c>
      <c r="D6271">
        <v>6324.76</v>
      </c>
    </row>
    <row r="6272" spans="1:4" x14ac:dyDescent="0.25">
      <c r="A6272" t="s">
        <v>615</v>
      </c>
      <c r="B6272" t="s">
        <v>117</v>
      </c>
      <c r="C6272" s="2">
        <f>HYPERLINK("https://svao.dolgi.msk.ru/account/1768005639/", 1768005639)</f>
        <v>1768005639</v>
      </c>
      <c r="D6272">
        <v>3775.52</v>
      </c>
    </row>
    <row r="6273" spans="1:4" x14ac:dyDescent="0.25">
      <c r="A6273" t="s">
        <v>615</v>
      </c>
      <c r="B6273" t="s">
        <v>24</v>
      </c>
      <c r="C6273" s="2">
        <f>HYPERLINK("https://svao.dolgi.msk.ru/account/1768012214/", 1768012214)</f>
        <v>1768012214</v>
      </c>
      <c r="D6273">
        <v>5298.15</v>
      </c>
    </row>
    <row r="6274" spans="1:4" x14ac:dyDescent="0.25">
      <c r="A6274" t="s">
        <v>615</v>
      </c>
      <c r="B6274" t="s">
        <v>314</v>
      </c>
      <c r="C6274" s="2">
        <f>HYPERLINK("https://svao.dolgi.msk.ru/account/1768012222/", 1768012222)</f>
        <v>1768012222</v>
      </c>
      <c r="D6274">
        <v>9138.31</v>
      </c>
    </row>
    <row r="6275" spans="1:4" x14ac:dyDescent="0.25">
      <c r="A6275" t="s">
        <v>615</v>
      </c>
      <c r="B6275" t="s">
        <v>126</v>
      </c>
      <c r="C6275" s="2">
        <f>HYPERLINK("https://svao.dolgi.msk.ru/account/1768012273/", 1768012273)</f>
        <v>1768012273</v>
      </c>
      <c r="D6275">
        <v>3993.35</v>
      </c>
    </row>
    <row r="6276" spans="1:4" x14ac:dyDescent="0.25">
      <c r="A6276" t="s">
        <v>615</v>
      </c>
      <c r="B6276" t="s">
        <v>80</v>
      </c>
      <c r="C6276" s="2">
        <f>HYPERLINK("https://svao.dolgi.msk.ru/account/1768012281/", 1768012281)</f>
        <v>1768012281</v>
      </c>
      <c r="D6276">
        <v>3761.37</v>
      </c>
    </row>
    <row r="6277" spans="1:4" x14ac:dyDescent="0.25">
      <c r="A6277" t="s">
        <v>615</v>
      </c>
      <c r="B6277" t="s">
        <v>118</v>
      </c>
      <c r="C6277" s="2">
        <f>HYPERLINK("https://svao.dolgi.msk.ru/account/1768005567/", 1768005567)</f>
        <v>1768005567</v>
      </c>
      <c r="D6277">
        <v>11514.99</v>
      </c>
    </row>
    <row r="6278" spans="1:4" x14ac:dyDescent="0.25">
      <c r="A6278" t="s">
        <v>615</v>
      </c>
      <c r="B6278" t="s">
        <v>127</v>
      </c>
      <c r="C6278" s="2">
        <f>HYPERLINK("https://svao.dolgi.msk.ru/account/1768012302/", 1768012302)</f>
        <v>1768012302</v>
      </c>
      <c r="D6278">
        <v>3087</v>
      </c>
    </row>
    <row r="6279" spans="1:4" x14ac:dyDescent="0.25">
      <c r="A6279" t="s">
        <v>615</v>
      </c>
      <c r="B6279" t="s">
        <v>26</v>
      </c>
      <c r="C6279" s="2">
        <f>HYPERLINK("https://svao.dolgi.msk.ru/account/1768012409/", 1768012409)</f>
        <v>1768012409</v>
      </c>
      <c r="D6279">
        <v>3824.04</v>
      </c>
    </row>
    <row r="6280" spans="1:4" x14ac:dyDescent="0.25">
      <c r="A6280" t="s">
        <v>615</v>
      </c>
      <c r="B6280" t="s">
        <v>27</v>
      </c>
      <c r="C6280" s="2">
        <f>HYPERLINK("https://svao.dolgi.msk.ru/account/1768005591/", 1768005591)</f>
        <v>1768005591</v>
      </c>
      <c r="D6280">
        <v>8851.2000000000007</v>
      </c>
    </row>
    <row r="6281" spans="1:4" x14ac:dyDescent="0.25">
      <c r="A6281" t="s">
        <v>615</v>
      </c>
      <c r="B6281" t="s">
        <v>134</v>
      </c>
      <c r="C6281" s="2">
        <f>HYPERLINK("https://svao.dolgi.msk.ru/account/1768012441/", 1768012441)</f>
        <v>1768012441</v>
      </c>
      <c r="D6281">
        <v>305542.12</v>
      </c>
    </row>
    <row r="6282" spans="1:4" x14ac:dyDescent="0.25">
      <c r="A6282" t="s">
        <v>615</v>
      </c>
      <c r="B6282" t="s">
        <v>139</v>
      </c>
      <c r="C6282" s="2">
        <f>HYPERLINK("https://svao.dolgi.msk.ru/account/1768012468/", 1768012468)</f>
        <v>1768012468</v>
      </c>
      <c r="D6282">
        <v>3678.94</v>
      </c>
    </row>
    <row r="6283" spans="1:4" x14ac:dyDescent="0.25">
      <c r="A6283" t="s">
        <v>615</v>
      </c>
      <c r="B6283" t="s">
        <v>84</v>
      </c>
      <c r="C6283" s="2">
        <f>HYPERLINK("https://svao.dolgi.msk.ru/account/1768012521/", 1768012521)</f>
        <v>1768012521</v>
      </c>
      <c r="D6283">
        <v>6054.4</v>
      </c>
    </row>
    <row r="6284" spans="1:4" x14ac:dyDescent="0.25">
      <c r="A6284" t="s">
        <v>615</v>
      </c>
      <c r="B6284" t="s">
        <v>291</v>
      </c>
      <c r="C6284" s="2">
        <f>HYPERLINK("https://svao.dolgi.msk.ru/account/1768012556/", 1768012556)</f>
        <v>1768012556</v>
      </c>
      <c r="D6284">
        <v>5056.1000000000004</v>
      </c>
    </row>
    <row r="6285" spans="1:4" x14ac:dyDescent="0.25">
      <c r="A6285" t="s">
        <v>615</v>
      </c>
      <c r="B6285" t="s">
        <v>32</v>
      </c>
      <c r="C6285" s="2">
        <f>HYPERLINK("https://svao.dolgi.msk.ru/account/1768012564/", 1768012564)</f>
        <v>1768012564</v>
      </c>
      <c r="D6285">
        <v>65605.02</v>
      </c>
    </row>
    <row r="6286" spans="1:4" x14ac:dyDescent="0.25">
      <c r="A6286" t="s">
        <v>615</v>
      </c>
      <c r="B6286" t="s">
        <v>34</v>
      </c>
      <c r="C6286" s="2">
        <f>HYPERLINK("https://svao.dolgi.msk.ru/account/1768005647/", 1768005647)</f>
        <v>1768005647</v>
      </c>
      <c r="D6286">
        <v>104585.14</v>
      </c>
    </row>
    <row r="6287" spans="1:4" x14ac:dyDescent="0.25">
      <c r="A6287" t="s">
        <v>616</v>
      </c>
      <c r="B6287" t="s">
        <v>5</v>
      </c>
      <c r="C6287" s="2">
        <f>HYPERLINK("https://svao.dolgi.msk.ru/account/1760022039/", 1760022039)</f>
        <v>1760022039</v>
      </c>
      <c r="D6287">
        <v>8409.48</v>
      </c>
    </row>
    <row r="6288" spans="1:4" x14ac:dyDescent="0.25">
      <c r="A6288" t="s">
        <v>616</v>
      </c>
      <c r="B6288" t="s">
        <v>141</v>
      </c>
      <c r="C6288" s="2">
        <f>HYPERLINK("https://svao.dolgi.msk.ru/account/1760022063/", 1760022063)</f>
        <v>1760022063</v>
      </c>
      <c r="D6288">
        <v>6092.34</v>
      </c>
    </row>
    <row r="6289" spans="1:4" x14ac:dyDescent="0.25">
      <c r="A6289" t="s">
        <v>616</v>
      </c>
      <c r="B6289" t="s">
        <v>103</v>
      </c>
      <c r="C6289" s="2">
        <f>HYPERLINK("https://svao.dolgi.msk.ru/account/1760022098/", 1760022098)</f>
        <v>1760022098</v>
      </c>
      <c r="D6289">
        <v>3290.2</v>
      </c>
    </row>
    <row r="6290" spans="1:4" x14ac:dyDescent="0.25">
      <c r="A6290" t="s">
        <v>616</v>
      </c>
      <c r="B6290" t="s">
        <v>73</v>
      </c>
      <c r="C6290" s="2">
        <f>HYPERLINK("https://svao.dolgi.msk.ru/account/1760022119/", 1760022119)</f>
        <v>1760022119</v>
      </c>
      <c r="D6290">
        <v>918</v>
      </c>
    </row>
    <row r="6291" spans="1:4" x14ac:dyDescent="0.25">
      <c r="A6291" t="s">
        <v>616</v>
      </c>
      <c r="B6291" t="s">
        <v>137</v>
      </c>
      <c r="C6291" s="2">
        <f>HYPERLINK("https://svao.dolgi.msk.ru/account/1760022151/", 1760022151)</f>
        <v>1760022151</v>
      </c>
      <c r="D6291">
        <v>205554.41</v>
      </c>
    </row>
    <row r="6292" spans="1:4" x14ac:dyDescent="0.25">
      <c r="A6292" t="s">
        <v>616</v>
      </c>
      <c r="B6292" t="s">
        <v>9</v>
      </c>
      <c r="C6292" s="2">
        <f>HYPERLINK("https://svao.dolgi.msk.ru/account/1760022178/", 1760022178)</f>
        <v>1760022178</v>
      </c>
      <c r="D6292">
        <v>6299.09</v>
      </c>
    </row>
    <row r="6293" spans="1:4" x14ac:dyDescent="0.25">
      <c r="A6293" t="s">
        <v>616</v>
      </c>
      <c r="B6293" t="s">
        <v>75</v>
      </c>
      <c r="C6293" s="2">
        <f>HYPERLINK("https://svao.dolgi.msk.ru/account/1760022186/", 1760022186)</f>
        <v>1760022186</v>
      </c>
      <c r="D6293">
        <v>3316.39</v>
      </c>
    </row>
    <row r="6294" spans="1:4" x14ac:dyDescent="0.25">
      <c r="A6294" t="s">
        <v>616</v>
      </c>
      <c r="B6294" t="s">
        <v>219</v>
      </c>
      <c r="C6294" s="2">
        <f>HYPERLINK("https://svao.dolgi.msk.ru/account/1760022215/", 1760022215)</f>
        <v>1760022215</v>
      </c>
      <c r="D6294">
        <v>5529.96</v>
      </c>
    </row>
    <row r="6295" spans="1:4" x14ac:dyDescent="0.25">
      <c r="A6295" t="s">
        <v>616</v>
      </c>
      <c r="B6295" t="s">
        <v>12</v>
      </c>
      <c r="C6295" s="2">
        <f>HYPERLINK("https://svao.dolgi.msk.ru/account/1760022231/", 1760022231)</f>
        <v>1760022231</v>
      </c>
      <c r="D6295">
        <v>51770.8</v>
      </c>
    </row>
    <row r="6296" spans="1:4" x14ac:dyDescent="0.25">
      <c r="A6296" t="s">
        <v>616</v>
      </c>
      <c r="B6296" t="s">
        <v>14</v>
      </c>
      <c r="C6296" s="2">
        <f>HYPERLINK("https://svao.dolgi.msk.ru/account/1760022266/", 1760022266)</f>
        <v>1760022266</v>
      </c>
      <c r="D6296">
        <v>683.91</v>
      </c>
    </row>
    <row r="6297" spans="1:4" x14ac:dyDescent="0.25">
      <c r="A6297" t="s">
        <v>616</v>
      </c>
      <c r="B6297" t="s">
        <v>106</v>
      </c>
      <c r="C6297" s="2">
        <f>HYPERLINK("https://svao.dolgi.msk.ru/account/1760022274/", 1760022274)</f>
        <v>1760022274</v>
      </c>
      <c r="D6297">
        <v>10807.28</v>
      </c>
    </row>
    <row r="6298" spans="1:4" x14ac:dyDescent="0.25">
      <c r="A6298" t="s">
        <v>616</v>
      </c>
      <c r="B6298" t="s">
        <v>107</v>
      </c>
      <c r="C6298" s="2">
        <f>HYPERLINK("https://svao.dolgi.msk.ru/account/1760022282/", 1760022282)</f>
        <v>1760022282</v>
      </c>
      <c r="D6298">
        <v>3207.43</v>
      </c>
    </row>
    <row r="6299" spans="1:4" x14ac:dyDescent="0.25">
      <c r="A6299" t="s">
        <v>616</v>
      </c>
      <c r="B6299" t="s">
        <v>16</v>
      </c>
      <c r="C6299" s="2">
        <f>HYPERLINK("https://svao.dolgi.msk.ru/account/1760022338/", 1760022338)</f>
        <v>1760022338</v>
      </c>
      <c r="D6299">
        <v>21393.18</v>
      </c>
    </row>
    <row r="6300" spans="1:4" x14ac:dyDescent="0.25">
      <c r="A6300" t="s">
        <v>616</v>
      </c>
      <c r="B6300" t="s">
        <v>17</v>
      </c>
      <c r="C6300" s="2">
        <f>HYPERLINK("https://svao.dolgi.msk.ru/account/1760022346/", 1760022346)</f>
        <v>1760022346</v>
      </c>
      <c r="D6300">
        <v>7924.89</v>
      </c>
    </row>
    <row r="6301" spans="1:4" x14ac:dyDescent="0.25">
      <c r="A6301" t="s">
        <v>616</v>
      </c>
      <c r="B6301" t="s">
        <v>18</v>
      </c>
      <c r="C6301" s="2">
        <f>HYPERLINK("https://svao.dolgi.msk.ru/account/1760022354/", 1760022354)</f>
        <v>1760022354</v>
      </c>
      <c r="D6301">
        <v>5102.01</v>
      </c>
    </row>
    <row r="6302" spans="1:4" x14ac:dyDescent="0.25">
      <c r="A6302" t="s">
        <v>616</v>
      </c>
      <c r="B6302" t="s">
        <v>19</v>
      </c>
      <c r="C6302" s="2">
        <f>HYPERLINK("https://svao.dolgi.msk.ru/account/1760022362/", 1760022362)</f>
        <v>1760022362</v>
      </c>
      <c r="D6302">
        <v>2342.63</v>
      </c>
    </row>
    <row r="6303" spans="1:4" x14ac:dyDescent="0.25">
      <c r="A6303" t="s">
        <v>616</v>
      </c>
      <c r="B6303" t="s">
        <v>109</v>
      </c>
      <c r="C6303" s="2">
        <f>HYPERLINK("https://svao.dolgi.msk.ru/account/1760022389/", 1760022389)</f>
        <v>1760022389</v>
      </c>
      <c r="D6303">
        <v>46016.07</v>
      </c>
    </row>
    <row r="6304" spans="1:4" x14ac:dyDescent="0.25">
      <c r="A6304" t="s">
        <v>616</v>
      </c>
      <c r="B6304" t="s">
        <v>76</v>
      </c>
      <c r="C6304" s="2">
        <f>HYPERLINK("https://svao.dolgi.msk.ru/account/1760022426/", 1760022426)</f>
        <v>1760022426</v>
      </c>
      <c r="D6304">
        <v>3250.27</v>
      </c>
    </row>
    <row r="6305" spans="1:4" x14ac:dyDescent="0.25">
      <c r="A6305" t="s">
        <v>616</v>
      </c>
      <c r="B6305" t="s">
        <v>93</v>
      </c>
      <c r="C6305" s="2">
        <f>HYPERLINK("https://svao.dolgi.msk.ru/account/1760022442/", 1760022442)</f>
        <v>1760022442</v>
      </c>
      <c r="D6305">
        <v>2736.13</v>
      </c>
    </row>
    <row r="6306" spans="1:4" x14ac:dyDescent="0.25">
      <c r="A6306" t="s">
        <v>616</v>
      </c>
      <c r="B6306" t="s">
        <v>111</v>
      </c>
      <c r="C6306" s="2">
        <f>HYPERLINK("https://svao.dolgi.msk.ru/account/1760022469/", 1760022469)</f>
        <v>1760022469</v>
      </c>
      <c r="D6306">
        <v>6301.17</v>
      </c>
    </row>
    <row r="6307" spans="1:4" x14ac:dyDescent="0.25">
      <c r="A6307" t="s">
        <v>616</v>
      </c>
      <c r="B6307" t="s">
        <v>77</v>
      </c>
      <c r="C6307" s="2">
        <f>HYPERLINK("https://svao.dolgi.msk.ru/account/1760022514/", 1760022514)</f>
        <v>1760022514</v>
      </c>
      <c r="D6307">
        <v>165050.82</v>
      </c>
    </row>
    <row r="6308" spans="1:4" x14ac:dyDescent="0.25">
      <c r="A6308" t="s">
        <v>616</v>
      </c>
      <c r="B6308" t="s">
        <v>124</v>
      </c>
      <c r="C6308" s="2">
        <f>HYPERLINK("https://svao.dolgi.msk.ru/account/1760022602/", 1760022602)</f>
        <v>1760022602</v>
      </c>
      <c r="D6308">
        <v>12465.43</v>
      </c>
    </row>
    <row r="6309" spans="1:4" x14ac:dyDescent="0.25">
      <c r="A6309" t="s">
        <v>616</v>
      </c>
      <c r="B6309" t="s">
        <v>115</v>
      </c>
      <c r="C6309" s="2">
        <f>HYPERLINK("https://svao.dolgi.msk.ru/account/1760022637/", 1760022637)</f>
        <v>1760022637</v>
      </c>
      <c r="D6309">
        <v>1397.52</v>
      </c>
    </row>
    <row r="6310" spans="1:4" x14ac:dyDescent="0.25">
      <c r="A6310" t="s">
        <v>616</v>
      </c>
      <c r="B6310" t="s">
        <v>314</v>
      </c>
      <c r="C6310" s="2">
        <f>HYPERLINK("https://svao.dolgi.msk.ru/account/1760022661/", 1760022661)</f>
        <v>1760022661</v>
      </c>
      <c r="D6310">
        <v>174.08</v>
      </c>
    </row>
    <row r="6311" spans="1:4" x14ac:dyDescent="0.25">
      <c r="A6311" t="s">
        <v>616</v>
      </c>
      <c r="B6311" t="s">
        <v>131</v>
      </c>
      <c r="C6311" s="2">
        <f>HYPERLINK("https://svao.dolgi.msk.ru/account/1760022709/", 1760022709)</f>
        <v>1760022709</v>
      </c>
      <c r="D6311">
        <v>10819.2</v>
      </c>
    </row>
    <row r="6312" spans="1:4" x14ac:dyDescent="0.25">
      <c r="A6312" t="s">
        <v>616</v>
      </c>
      <c r="B6312" t="s">
        <v>125</v>
      </c>
      <c r="C6312" s="2">
        <f>HYPERLINK("https://svao.dolgi.msk.ru/account/1760022717/", 1760022717)</f>
        <v>1760022717</v>
      </c>
      <c r="D6312">
        <v>617.17999999999995</v>
      </c>
    </row>
    <row r="6313" spans="1:4" x14ac:dyDescent="0.25">
      <c r="A6313" t="s">
        <v>616</v>
      </c>
      <c r="B6313" t="s">
        <v>118</v>
      </c>
      <c r="C6313" s="2">
        <f>HYPERLINK("https://svao.dolgi.msk.ru/account/1760022741/", 1760022741)</f>
        <v>1760022741</v>
      </c>
      <c r="D6313">
        <v>979.2</v>
      </c>
    </row>
    <row r="6314" spans="1:4" x14ac:dyDescent="0.25">
      <c r="A6314" t="s">
        <v>617</v>
      </c>
      <c r="B6314" t="s">
        <v>41</v>
      </c>
      <c r="C6314" s="2">
        <f>HYPERLINK("https://svao.dolgi.msk.ru/account/1768023829/", 1768023829)</f>
        <v>1768023829</v>
      </c>
      <c r="D6314">
        <v>9208</v>
      </c>
    </row>
    <row r="6315" spans="1:4" x14ac:dyDescent="0.25">
      <c r="A6315" t="s">
        <v>617</v>
      </c>
      <c r="B6315" t="s">
        <v>101</v>
      </c>
      <c r="C6315" s="2">
        <f>HYPERLINK("https://svao.dolgi.msk.ru/account/1768023853/", 1768023853)</f>
        <v>1768023853</v>
      </c>
      <c r="D6315">
        <v>354175.47</v>
      </c>
    </row>
    <row r="6316" spans="1:4" x14ac:dyDescent="0.25">
      <c r="A6316" t="s">
        <v>617</v>
      </c>
      <c r="B6316" t="s">
        <v>103</v>
      </c>
      <c r="C6316" s="2">
        <f>HYPERLINK("https://svao.dolgi.msk.ru/account/1768003166/", 1768003166)</f>
        <v>1768003166</v>
      </c>
      <c r="D6316">
        <v>3035.48</v>
      </c>
    </row>
    <row r="6317" spans="1:4" x14ac:dyDescent="0.25">
      <c r="A6317" t="s">
        <v>617</v>
      </c>
      <c r="B6317" t="s">
        <v>74</v>
      </c>
      <c r="C6317" s="2">
        <f>HYPERLINK("https://svao.dolgi.msk.ru/account/1768023896/", 1768023896)</f>
        <v>1768023896</v>
      </c>
      <c r="D6317">
        <v>4286.01</v>
      </c>
    </row>
    <row r="6318" spans="1:4" x14ac:dyDescent="0.25">
      <c r="A6318" t="s">
        <v>617</v>
      </c>
      <c r="B6318" t="s">
        <v>9</v>
      </c>
      <c r="C6318" s="2">
        <f>HYPERLINK("https://svao.dolgi.msk.ru/account/1768024741/", 1768024741)</f>
        <v>1768024741</v>
      </c>
      <c r="D6318">
        <v>5480.83</v>
      </c>
    </row>
    <row r="6319" spans="1:4" x14ac:dyDescent="0.25">
      <c r="A6319" t="s">
        <v>617</v>
      </c>
      <c r="B6319" t="s">
        <v>91</v>
      </c>
      <c r="C6319" s="2">
        <f>HYPERLINK("https://svao.dolgi.msk.ru/account/1768023917/", 1768023917)</f>
        <v>1768023917</v>
      </c>
      <c r="D6319">
        <v>90752.71</v>
      </c>
    </row>
    <row r="6320" spans="1:4" x14ac:dyDescent="0.25">
      <c r="A6320" t="s">
        <v>617</v>
      </c>
      <c r="B6320" t="s">
        <v>13</v>
      </c>
      <c r="C6320" s="2">
        <f>HYPERLINK("https://svao.dolgi.msk.ru/account/1768023968/", 1768023968)</f>
        <v>1768023968</v>
      </c>
      <c r="D6320">
        <v>203868</v>
      </c>
    </row>
    <row r="6321" spans="1:4" x14ac:dyDescent="0.25">
      <c r="A6321" t="s">
        <v>617</v>
      </c>
      <c r="B6321" t="s">
        <v>107</v>
      </c>
      <c r="C6321" s="2">
        <f>HYPERLINK("https://svao.dolgi.msk.ru/account/1768023992/", 1768023992)</f>
        <v>1768023992</v>
      </c>
      <c r="D6321">
        <v>3577.72</v>
      </c>
    </row>
    <row r="6322" spans="1:4" x14ac:dyDescent="0.25">
      <c r="A6322" t="s">
        <v>617</v>
      </c>
      <c r="B6322" t="s">
        <v>108</v>
      </c>
      <c r="C6322" s="2">
        <f>HYPERLINK("https://svao.dolgi.msk.ru/account/1768024012/", 1768024012)</f>
        <v>1768024012</v>
      </c>
      <c r="D6322">
        <v>443.67</v>
      </c>
    </row>
    <row r="6323" spans="1:4" x14ac:dyDescent="0.25">
      <c r="A6323" t="s">
        <v>617</v>
      </c>
      <c r="B6323" t="s">
        <v>110</v>
      </c>
      <c r="C6323" s="2">
        <f>HYPERLINK("https://svao.dolgi.msk.ru/account/1768024071/", 1768024071)</f>
        <v>1768024071</v>
      </c>
      <c r="D6323">
        <v>4177.3</v>
      </c>
    </row>
    <row r="6324" spans="1:4" x14ac:dyDescent="0.25">
      <c r="A6324" t="s">
        <v>617</v>
      </c>
      <c r="B6324" t="s">
        <v>20</v>
      </c>
      <c r="C6324" s="2">
        <f>HYPERLINK("https://svao.dolgi.msk.ru/account/1768003158/", 1768003158)</f>
        <v>1768003158</v>
      </c>
      <c r="D6324">
        <v>41880.81</v>
      </c>
    </row>
    <row r="6325" spans="1:4" x14ac:dyDescent="0.25">
      <c r="A6325" t="s">
        <v>617</v>
      </c>
      <c r="B6325" t="s">
        <v>92</v>
      </c>
      <c r="C6325" s="2">
        <f>HYPERLINK("https://svao.dolgi.msk.ru/account/1768024127/", 1768024127)</f>
        <v>1768024127</v>
      </c>
      <c r="D6325">
        <v>6532.83</v>
      </c>
    </row>
    <row r="6326" spans="1:4" x14ac:dyDescent="0.25">
      <c r="A6326" t="s">
        <v>617</v>
      </c>
      <c r="B6326" t="s">
        <v>77</v>
      </c>
      <c r="C6326" s="2">
        <f>HYPERLINK("https://svao.dolgi.msk.ru/account/1768002972/", 1768002972)</f>
        <v>1768002972</v>
      </c>
      <c r="D6326">
        <v>7451.81</v>
      </c>
    </row>
    <row r="6327" spans="1:4" x14ac:dyDescent="0.25">
      <c r="A6327" t="s">
        <v>617</v>
      </c>
      <c r="B6327" t="s">
        <v>114</v>
      </c>
      <c r="C6327" s="2">
        <f>HYPERLINK("https://svao.dolgi.msk.ru/account/1768024207/", 1768024207)</f>
        <v>1768024207</v>
      </c>
      <c r="D6327">
        <v>6870.31</v>
      </c>
    </row>
    <row r="6328" spans="1:4" x14ac:dyDescent="0.25">
      <c r="A6328" t="s">
        <v>617</v>
      </c>
      <c r="B6328" t="s">
        <v>22</v>
      </c>
      <c r="C6328" s="2">
        <f>HYPERLINK("https://svao.dolgi.msk.ru/account/1768024223/", 1768024223)</f>
        <v>1768024223</v>
      </c>
      <c r="D6328">
        <v>6160.23</v>
      </c>
    </row>
    <row r="6329" spans="1:4" x14ac:dyDescent="0.25">
      <c r="A6329" t="s">
        <v>617</v>
      </c>
      <c r="B6329" t="s">
        <v>117</v>
      </c>
      <c r="C6329" s="2">
        <f>HYPERLINK("https://svao.dolgi.msk.ru/account/1768024274/", 1768024274)</f>
        <v>1768024274</v>
      </c>
      <c r="D6329">
        <v>10373.26</v>
      </c>
    </row>
    <row r="6330" spans="1:4" x14ac:dyDescent="0.25">
      <c r="A6330" t="s">
        <v>617</v>
      </c>
      <c r="B6330" t="s">
        <v>115</v>
      </c>
      <c r="C6330" s="2">
        <f>HYPERLINK("https://svao.dolgi.msk.ru/account/1768024282/", 1768024282)</f>
        <v>1768024282</v>
      </c>
      <c r="D6330">
        <v>109263.92</v>
      </c>
    </row>
    <row r="6331" spans="1:4" x14ac:dyDescent="0.25">
      <c r="A6331" t="s">
        <v>617</v>
      </c>
      <c r="B6331" t="s">
        <v>242</v>
      </c>
      <c r="C6331" s="2">
        <f>HYPERLINK("https://svao.dolgi.msk.ru/account/1768024338/", 1768024338)</f>
        <v>1768024338</v>
      </c>
      <c r="D6331">
        <v>6228.15</v>
      </c>
    </row>
    <row r="6332" spans="1:4" x14ac:dyDescent="0.25">
      <c r="A6332" t="s">
        <v>617</v>
      </c>
      <c r="B6332" t="s">
        <v>131</v>
      </c>
      <c r="C6332" s="2">
        <f>HYPERLINK("https://svao.dolgi.msk.ru/account/1768024354/", 1768024354)</f>
        <v>1768024354</v>
      </c>
      <c r="D6332">
        <v>4198.09</v>
      </c>
    </row>
    <row r="6333" spans="1:4" x14ac:dyDescent="0.25">
      <c r="A6333" t="s">
        <v>617</v>
      </c>
      <c r="B6333" t="s">
        <v>125</v>
      </c>
      <c r="C6333" s="2">
        <f>HYPERLINK("https://svao.dolgi.msk.ru/account/1768024362/", 1768024362)</f>
        <v>1768024362</v>
      </c>
      <c r="D6333">
        <v>10461.81</v>
      </c>
    </row>
    <row r="6334" spans="1:4" x14ac:dyDescent="0.25">
      <c r="A6334" t="s">
        <v>617</v>
      </c>
      <c r="B6334" t="s">
        <v>126</v>
      </c>
      <c r="C6334" s="2">
        <f>HYPERLINK("https://svao.dolgi.msk.ru/account/1768024389/", 1768024389)</f>
        <v>1768024389</v>
      </c>
      <c r="D6334">
        <v>1402.84</v>
      </c>
    </row>
    <row r="6335" spans="1:4" x14ac:dyDescent="0.25">
      <c r="A6335" t="s">
        <v>617</v>
      </c>
      <c r="B6335" t="s">
        <v>80</v>
      </c>
      <c r="C6335" s="2">
        <f>HYPERLINK("https://svao.dolgi.msk.ru/account/1768024397/", 1768024397)</f>
        <v>1768024397</v>
      </c>
      <c r="D6335">
        <v>3858.66</v>
      </c>
    </row>
    <row r="6336" spans="1:4" x14ac:dyDescent="0.25">
      <c r="A6336" t="s">
        <v>617</v>
      </c>
      <c r="B6336" t="s">
        <v>127</v>
      </c>
      <c r="C6336" s="2">
        <f>HYPERLINK("https://svao.dolgi.msk.ru/account/1768024426/", 1768024426)</f>
        <v>1768024426</v>
      </c>
      <c r="D6336">
        <v>4205.42</v>
      </c>
    </row>
    <row r="6337" spans="1:4" x14ac:dyDescent="0.25">
      <c r="A6337" t="s">
        <v>617</v>
      </c>
      <c r="B6337" t="s">
        <v>82</v>
      </c>
      <c r="C6337" s="2">
        <f>HYPERLINK("https://svao.dolgi.msk.ru/account/1768024477/", 1768024477)</f>
        <v>1768024477</v>
      </c>
      <c r="D6337">
        <v>4337.25</v>
      </c>
    </row>
    <row r="6338" spans="1:4" x14ac:dyDescent="0.25">
      <c r="A6338" t="s">
        <v>617</v>
      </c>
      <c r="B6338" t="s">
        <v>128</v>
      </c>
      <c r="C6338" s="2">
        <f>HYPERLINK("https://svao.dolgi.msk.ru/account/1768024485/", 1768024485)</f>
        <v>1768024485</v>
      </c>
      <c r="D6338">
        <v>2406.63</v>
      </c>
    </row>
    <row r="6339" spans="1:4" x14ac:dyDescent="0.25">
      <c r="A6339" t="s">
        <v>617</v>
      </c>
      <c r="B6339" t="s">
        <v>133</v>
      </c>
      <c r="C6339" s="2">
        <f>HYPERLINK("https://svao.dolgi.msk.ru/account/1768024506/", 1768024506)</f>
        <v>1768024506</v>
      </c>
      <c r="D6339">
        <v>166.73</v>
      </c>
    </row>
    <row r="6340" spans="1:4" x14ac:dyDescent="0.25">
      <c r="A6340" t="s">
        <v>617</v>
      </c>
      <c r="B6340" t="s">
        <v>96</v>
      </c>
      <c r="C6340" s="2">
        <f>HYPERLINK("https://svao.dolgi.msk.ru/account/1768003115/", 1768003115)</f>
        <v>1768003115</v>
      </c>
      <c r="D6340">
        <v>164758.01999999999</v>
      </c>
    </row>
    <row r="6341" spans="1:4" x14ac:dyDescent="0.25">
      <c r="A6341" t="s">
        <v>617</v>
      </c>
      <c r="B6341" t="s">
        <v>290</v>
      </c>
      <c r="C6341" s="2">
        <f>HYPERLINK("https://svao.dolgi.msk.ru/account/1768024522/", 1768024522)</f>
        <v>1768024522</v>
      </c>
      <c r="D6341">
        <v>4290.43</v>
      </c>
    </row>
    <row r="6342" spans="1:4" x14ac:dyDescent="0.25">
      <c r="A6342" t="s">
        <v>617</v>
      </c>
      <c r="B6342" t="s">
        <v>134</v>
      </c>
      <c r="C6342" s="2">
        <f>HYPERLINK("https://svao.dolgi.msk.ru/account/1768003182/", 1768003182)</f>
        <v>1768003182</v>
      </c>
      <c r="D6342">
        <v>12500.79</v>
      </c>
    </row>
    <row r="6343" spans="1:4" x14ac:dyDescent="0.25">
      <c r="A6343" t="s">
        <v>617</v>
      </c>
      <c r="B6343" t="s">
        <v>28</v>
      </c>
      <c r="C6343" s="2">
        <f>HYPERLINK("https://svao.dolgi.msk.ru/account/1768003078/", 1768003078)</f>
        <v>1768003078</v>
      </c>
      <c r="D6343">
        <v>4436.59</v>
      </c>
    </row>
    <row r="6344" spans="1:4" x14ac:dyDescent="0.25">
      <c r="A6344" t="s">
        <v>617</v>
      </c>
      <c r="B6344" t="s">
        <v>244</v>
      </c>
      <c r="C6344" s="2">
        <f>HYPERLINK("https://svao.dolgi.msk.ru/account/1768024565/", 1768024565)</f>
        <v>1768024565</v>
      </c>
      <c r="D6344">
        <v>102436.86</v>
      </c>
    </row>
    <row r="6345" spans="1:4" x14ac:dyDescent="0.25">
      <c r="A6345" t="s">
        <v>617</v>
      </c>
      <c r="B6345" t="s">
        <v>129</v>
      </c>
      <c r="C6345" s="2">
        <f>HYPERLINK("https://svao.dolgi.msk.ru/account/1768003019/", 1768003019)</f>
        <v>1768003019</v>
      </c>
      <c r="D6345">
        <v>3031.91</v>
      </c>
    </row>
    <row r="6346" spans="1:4" x14ac:dyDescent="0.25">
      <c r="A6346" t="s">
        <v>617</v>
      </c>
      <c r="B6346" t="s">
        <v>30</v>
      </c>
      <c r="C6346" s="2">
        <f>HYPERLINK("https://svao.dolgi.msk.ru/account/1768024573/", 1768024573)</f>
        <v>1768024573</v>
      </c>
      <c r="D6346">
        <v>5166.75</v>
      </c>
    </row>
    <row r="6347" spans="1:4" x14ac:dyDescent="0.25">
      <c r="A6347" t="s">
        <v>617</v>
      </c>
      <c r="B6347" t="s">
        <v>98</v>
      </c>
      <c r="C6347" s="2">
        <f>HYPERLINK("https://svao.dolgi.msk.ru/account/1768024637/", 1768024637)</f>
        <v>1768024637</v>
      </c>
      <c r="D6347">
        <v>10628.75</v>
      </c>
    </row>
    <row r="6348" spans="1:4" x14ac:dyDescent="0.25">
      <c r="A6348" t="s">
        <v>617</v>
      </c>
      <c r="B6348" t="s">
        <v>291</v>
      </c>
      <c r="C6348" s="2">
        <f>HYPERLINK("https://svao.dolgi.msk.ru/account/1768024645/", 1768024645)</f>
        <v>1768024645</v>
      </c>
      <c r="D6348">
        <v>222958.33</v>
      </c>
    </row>
    <row r="6349" spans="1:4" x14ac:dyDescent="0.25">
      <c r="A6349" t="s">
        <v>617</v>
      </c>
      <c r="B6349" t="s">
        <v>245</v>
      </c>
      <c r="C6349" s="2">
        <f>HYPERLINK("https://svao.dolgi.msk.ru/account/1768024653/", 1768024653)</f>
        <v>1768024653</v>
      </c>
      <c r="D6349">
        <v>4894.6099999999997</v>
      </c>
    </row>
    <row r="6350" spans="1:4" x14ac:dyDescent="0.25">
      <c r="A6350" t="s">
        <v>617</v>
      </c>
      <c r="B6350" t="s">
        <v>99</v>
      </c>
      <c r="C6350" s="2">
        <f>HYPERLINK("https://svao.dolgi.msk.ru/account/1768024725/", 1768024725)</f>
        <v>1768024725</v>
      </c>
      <c r="D6350">
        <v>2756.31</v>
      </c>
    </row>
    <row r="6351" spans="1:4" x14ac:dyDescent="0.25">
      <c r="A6351" t="s">
        <v>618</v>
      </c>
      <c r="B6351" t="s">
        <v>246</v>
      </c>
      <c r="C6351" s="2">
        <f>HYPERLINK("https://svao.dolgi.msk.ru/account/1768012695/", 1768012695)</f>
        <v>1768012695</v>
      </c>
      <c r="D6351">
        <v>108.91</v>
      </c>
    </row>
    <row r="6352" spans="1:4" x14ac:dyDescent="0.25">
      <c r="A6352" t="s">
        <v>618</v>
      </c>
      <c r="B6352" t="s">
        <v>315</v>
      </c>
      <c r="C6352" s="2">
        <f>HYPERLINK("https://svao.dolgi.msk.ru/account/1768012804/", 1768012804)</f>
        <v>1768012804</v>
      </c>
      <c r="D6352">
        <v>111.88</v>
      </c>
    </row>
    <row r="6353" spans="1:4" x14ac:dyDescent="0.25">
      <c r="A6353" t="s">
        <v>618</v>
      </c>
      <c r="B6353" t="s">
        <v>301</v>
      </c>
      <c r="C6353" s="2">
        <f>HYPERLINK("https://svao.dolgi.msk.ru/account/1768012812/", 1768012812)</f>
        <v>1768012812</v>
      </c>
      <c r="D6353">
        <v>914.39</v>
      </c>
    </row>
    <row r="6354" spans="1:4" x14ac:dyDescent="0.25">
      <c r="A6354" t="s">
        <v>618</v>
      </c>
      <c r="B6354" t="s">
        <v>252</v>
      </c>
      <c r="C6354" s="2">
        <f>HYPERLINK("https://svao.dolgi.msk.ru/account/1768012951/", 1768012951)</f>
        <v>1768012951</v>
      </c>
      <c r="D6354">
        <v>490.37</v>
      </c>
    </row>
    <row r="6355" spans="1:4" x14ac:dyDescent="0.25">
      <c r="A6355" t="s">
        <v>618</v>
      </c>
      <c r="B6355" t="s">
        <v>306</v>
      </c>
      <c r="C6355" s="2">
        <f>HYPERLINK("https://svao.dolgi.msk.ru/account/1768004011/", 1768004011)</f>
        <v>1768004011</v>
      </c>
      <c r="D6355">
        <v>1317.97</v>
      </c>
    </row>
    <row r="6356" spans="1:4" x14ac:dyDescent="0.25">
      <c r="A6356" t="s">
        <v>618</v>
      </c>
      <c r="B6356" t="s">
        <v>50</v>
      </c>
      <c r="C6356" s="2">
        <f>HYPERLINK("https://svao.dolgi.msk.ru/account/1768012978/", 1768012978)</f>
        <v>1768012978</v>
      </c>
      <c r="D6356">
        <v>828.9</v>
      </c>
    </row>
    <row r="6357" spans="1:4" x14ac:dyDescent="0.25">
      <c r="A6357" t="s">
        <v>618</v>
      </c>
      <c r="B6357" t="s">
        <v>295</v>
      </c>
      <c r="C6357" s="2">
        <f>HYPERLINK("https://svao.dolgi.msk.ru/account/1768013049/", 1768013049)</f>
        <v>1768013049</v>
      </c>
      <c r="D6357">
        <v>439.24</v>
      </c>
    </row>
    <row r="6358" spans="1:4" x14ac:dyDescent="0.25">
      <c r="A6358" t="s">
        <v>618</v>
      </c>
      <c r="B6358" t="s">
        <v>307</v>
      </c>
      <c r="C6358" s="2">
        <f>HYPERLINK("https://svao.dolgi.msk.ru/account/1768013065/", 1768013065)</f>
        <v>1768013065</v>
      </c>
      <c r="D6358">
        <v>1389.98</v>
      </c>
    </row>
    <row r="6359" spans="1:4" x14ac:dyDescent="0.25">
      <c r="A6359" t="s">
        <v>618</v>
      </c>
      <c r="B6359" t="s">
        <v>53</v>
      </c>
      <c r="C6359" s="2">
        <f>HYPERLINK("https://svao.dolgi.msk.ru/account/1768013145/", 1768013145)</f>
        <v>1768013145</v>
      </c>
      <c r="D6359">
        <v>126.96</v>
      </c>
    </row>
    <row r="6360" spans="1:4" x14ac:dyDescent="0.25">
      <c r="A6360" t="s">
        <v>618</v>
      </c>
      <c r="B6360" t="s">
        <v>55</v>
      </c>
      <c r="C6360" s="2">
        <f>HYPERLINK("https://svao.dolgi.msk.ru/account/1768013225/", 1768013225)</f>
        <v>1768013225</v>
      </c>
      <c r="D6360">
        <v>159.36000000000001</v>
      </c>
    </row>
    <row r="6361" spans="1:4" x14ac:dyDescent="0.25">
      <c r="A6361" t="s">
        <v>618</v>
      </c>
      <c r="B6361" t="s">
        <v>298</v>
      </c>
      <c r="C6361" s="2">
        <f>HYPERLINK("https://svao.dolgi.msk.ru/account/1768013241/", 1768013241)</f>
        <v>1768013241</v>
      </c>
      <c r="D6361">
        <v>684.93</v>
      </c>
    </row>
    <row r="6362" spans="1:4" x14ac:dyDescent="0.25">
      <c r="A6362" t="s">
        <v>618</v>
      </c>
      <c r="B6362" t="s">
        <v>328</v>
      </c>
      <c r="C6362" s="2">
        <f>HYPERLINK("https://svao.dolgi.msk.ru/account/1768003959/", 1768003959)</f>
        <v>1768003959</v>
      </c>
      <c r="D6362">
        <v>312.25</v>
      </c>
    </row>
    <row r="6363" spans="1:4" x14ac:dyDescent="0.25">
      <c r="A6363" t="s">
        <v>618</v>
      </c>
      <c r="B6363" t="s">
        <v>312</v>
      </c>
      <c r="C6363" s="2">
        <f>HYPERLINK("https://svao.dolgi.msk.ru/account/1768003991/", 1768003991)</f>
        <v>1768003991</v>
      </c>
      <c r="D6363">
        <v>288.48</v>
      </c>
    </row>
    <row r="6364" spans="1:4" x14ac:dyDescent="0.25">
      <c r="A6364" t="s">
        <v>618</v>
      </c>
      <c r="B6364" t="s">
        <v>156</v>
      </c>
      <c r="C6364" s="2">
        <f>HYPERLINK("https://svao.dolgi.msk.ru/account/1768013305/", 1768013305)</f>
        <v>1768013305</v>
      </c>
      <c r="D6364">
        <v>151.88999999999999</v>
      </c>
    </row>
    <row r="6365" spans="1:4" x14ac:dyDescent="0.25">
      <c r="A6365" t="s">
        <v>618</v>
      </c>
      <c r="B6365" t="s">
        <v>157</v>
      </c>
      <c r="C6365" s="2">
        <f>HYPERLINK("https://svao.dolgi.msk.ru/account/1768013313/", 1768013313)</f>
        <v>1768013313</v>
      </c>
      <c r="D6365">
        <v>191.17</v>
      </c>
    </row>
    <row r="6366" spans="1:4" x14ac:dyDescent="0.25">
      <c r="A6366" t="s">
        <v>618</v>
      </c>
      <c r="B6366" t="s">
        <v>429</v>
      </c>
      <c r="C6366" s="2">
        <f>HYPERLINK("https://svao.dolgi.msk.ru/account/1768013321/", 1768013321)</f>
        <v>1768013321</v>
      </c>
      <c r="D6366">
        <v>212.48</v>
      </c>
    </row>
    <row r="6367" spans="1:4" x14ac:dyDescent="0.25">
      <c r="A6367" t="s">
        <v>618</v>
      </c>
      <c r="B6367" t="s">
        <v>377</v>
      </c>
      <c r="C6367" s="2">
        <f>HYPERLINK("https://svao.dolgi.msk.ru/account/1768013364/", 1768013364)</f>
        <v>1768013364</v>
      </c>
      <c r="D6367">
        <v>151.47</v>
      </c>
    </row>
    <row r="6368" spans="1:4" x14ac:dyDescent="0.25">
      <c r="A6368" t="s">
        <v>618</v>
      </c>
      <c r="B6368" t="s">
        <v>299</v>
      </c>
      <c r="C6368" s="2">
        <f>HYPERLINK("https://svao.dolgi.msk.ru/account/1768013399/", 1768013399)</f>
        <v>1768013399</v>
      </c>
      <c r="D6368">
        <v>118.01</v>
      </c>
    </row>
    <row r="6369" spans="1:4" x14ac:dyDescent="0.25">
      <c r="A6369" t="s">
        <v>618</v>
      </c>
      <c r="B6369" t="s">
        <v>256</v>
      </c>
      <c r="C6369" s="2">
        <f>HYPERLINK("https://svao.dolgi.msk.ru/account/1768013436/", 1768013436)</f>
        <v>1768013436</v>
      </c>
      <c r="D6369">
        <v>741.45</v>
      </c>
    </row>
    <row r="6370" spans="1:4" x14ac:dyDescent="0.25">
      <c r="A6370" t="s">
        <v>618</v>
      </c>
      <c r="B6370" t="s">
        <v>160</v>
      </c>
      <c r="C6370" s="2">
        <f>HYPERLINK("https://svao.dolgi.msk.ru/account/1768013559/", 1768013559)</f>
        <v>1768013559</v>
      </c>
      <c r="D6370">
        <v>931.52</v>
      </c>
    </row>
    <row r="6371" spans="1:4" x14ac:dyDescent="0.25">
      <c r="A6371" t="s">
        <v>618</v>
      </c>
      <c r="B6371" t="s">
        <v>65</v>
      </c>
      <c r="C6371" s="2">
        <f>HYPERLINK("https://svao.dolgi.msk.ru/account/1768013591/", 1768013591)</f>
        <v>1768013591</v>
      </c>
      <c r="D6371">
        <v>574.70000000000005</v>
      </c>
    </row>
    <row r="6372" spans="1:4" x14ac:dyDescent="0.25">
      <c r="A6372" t="s">
        <v>619</v>
      </c>
      <c r="B6372" t="s">
        <v>102</v>
      </c>
      <c r="C6372" s="2">
        <f>HYPERLINK("https://svao.dolgi.msk.ru/account/1760022821/", 1760022821)</f>
        <v>1760022821</v>
      </c>
      <c r="D6372">
        <v>4184.29</v>
      </c>
    </row>
    <row r="6373" spans="1:4" x14ac:dyDescent="0.25">
      <c r="A6373" t="s">
        <v>619</v>
      </c>
      <c r="B6373" t="s">
        <v>103</v>
      </c>
      <c r="C6373" s="2">
        <f>HYPERLINK("https://svao.dolgi.msk.ru/account/1760022848/", 1760022848)</f>
        <v>1760022848</v>
      </c>
      <c r="D6373">
        <v>1028.24</v>
      </c>
    </row>
    <row r="6374" spans="1:4" x14ac:dyDescent="0.25">
      <c r="A6374" t="s">
        <v>619</v>
      </c>
      <c r="B6374" t="s">
        <v>73</v>
      </c>
      <c r="C6374" s="2">
        <f>HYPERLINK("https://svao.dolgi.msk.ru/account/1760022856/", 1760022856)</f>
        <v>1760022856</v>
      </c>
      <c r="D6374">
        <v>255075.86</v>
      </c>
    </row>
    <row r="6375" spans="1:4" x14ac:dyDescent="0.25">
      <c r="A6375" t="s">
        <v>619</v>
      </c>
      <c r="B6375" t="s">
        <v>104</v>
      </c>
      <c r="C6375" s="2">
        <f>HYPERLINK("https://svao.dolgi.msk.ru/account/1760022864/", 1760022864)</f>
        <v>1760022864</v>
      </c>
      <c r="D6375">
        <v>174977.13</v>
      </c>
    </row>
    <row r="6376" spans="1:4" x14ac:dyDescent="0.25">
      <c r="A6376" t="s">
        <v>619</v>
      </c>
      <c r="B6376" t="s">
        <v>74</v>
      </c>
      <c r="C6376" s="2">
        <f>HYPERLINK("https://svao.dolgi.msk.ru/account/1760022899/", 1760022899)</f>
        <v>1760022899</v>
      </c>
      <c r="D6376">
        <v>2777.6</v>
      </c>
    </row>
    <row r="6377" spans="1:4" x14ac:dyDescent="0.25">
      <c r="A6377" t="s">
        <v>619</v>
      </c>
      <c r="B6377" t="s">
        <v>91</v>
      </c>
      <c r="C6377" s="2">
        <f>HYPERLINK("https://svao.dolgi.msk.ru/account/1760022944/", 1760022944)</f>
        <v>1760022944</v>
      </c>
      <c r="D6377">
        <v>18993.009999999998</v>
      </c>
    </row>
    <row r="6378" spans="1:4" x14ac:dyDescent="0.25">
      <c r="A6378" t="s">
        <v>619</v>
      </c>
      <c r="B6378" t="s">
        <v>11</v>
      </c>
      <c r="C6378" s="2">
        <f>HYPERLINK("https://svao.dolgi.msk.ru/account/1760022987/", 1760022987)</f>
        <v>1760022987</v>
      </c>
      <c r="D6378">
        <v>5758.21</v>
      </c>
    </row>
    <row r="6379" spans="1:4" x14ac:dyDescent="0.25">
      <c r="A6379" t="s">
        <v>619</v>
      </c>
      <c r="B6379" t="s">
        <v>108</v>
      </c>
      <c r="C6379" s="2">
        <f>HYPERLINK("https://svao.dolgi.msk.ru/account/1760023066/", 1760023066)</f>
        <v>1760023066</v>
      </c>
      <c r="D6379">
        <v>44583.82</v>
      </c>
    </row>
    <row r="6380" spans="1:4" x14ac:dyDescent="0.25">
      <c r="A6380" t="s">
        <v>619</v>
      </c>
      <c r="B6380" t="s">
        <v>18</v>
      </c>
      <c r="C6380" s="2">
        <f>HYPERLINK("https://svao.dolgi.msk.ru/account/1760023103/", 1760023103)</f>
        <v>1760023103</v>
      </c>
      <c r="D6380">
        <v>24855.87</v>
      </c>
    </row>
    <row r="6381" spans="1:4" x14ac:dyDescent="0.25">
      <c r="A6381" t="s">
        <v>619</v>
      </c>
      <c r="B6381" t="s">
        <v>20</v>
      </c>
      <c r="C6381" s="2">
        <f>HYPERLINK("https://svao.dolgi.msk.ru/account/1760023154/", 1760023154)</f>
        <v>1760023154</v>
      </c>
      <c r="D6381">
        <v>24889.72</v>
      </c>
    </row>
    <row r="6382" spans="1:4" x14ac:dyDescent="0.25">
      <c r="A6382" t="s">
        <v>619</v>
      </c>
      <c r="B6382" t="s">
        <v>76</v>
      </c>
      <c r="C6382" s="2">
        <f>HYPERLINK("https://svao.dolgi.msk.ru/account/1760023162/", 1760023162)</f>
        <v>1760023162</v>
      </c>
      <c r="D6382">
        <v>595.52</v>
      </c>
    </row>
    <row r="6383" spans="1:4" x14ac:dyDescent="0.25">
      <c r="A6383" t="s">
        <v>619</v>
      </c>
      <c r="B6383" t="s">
        <v>93</v>
      </c>
      <c r="C6383" s="2">
        <f>HYPERLINK("https://svao.dolgi.msk.ru/account/1760023197/", 1760023197)</f>
        <v>1760023197</v>
      </c>
      <c r="D6383">
        <v>2757.51</v>
      </c>
    </row>
    <row r="6384" spans="1:4" x14ac:dyDescent="0.25">
      <c r="A6384" t="s">
        <v>619</v>
      </c>
      <c r="B6384" t="s">
        <v>94</v>
      </c>
      <c r="C6384" s="2">
        <f>HYPERLINK("https://svao.dolgi.msk.ru/account/1760023226/", 1760023226)</f>
        <v>1760023226</v>
      </c>
      <c r="D6384">
        <v>5397.76</v>
      </c>
    </row>
    <row r="6385" spans="1:4" x14ac:dyDescent="0.25">
      <c r="A6385" t="s">
        <v>619</v>
      </c>
      <c r="B6385" t="s">
        <v>112</v>
      </c>
      <c r="C6385" s="2">
        <f>HYPERLINK("https://svao.dolgi.msk.ru/account/1760023234/", 1760023234)</f>
        <v>1760023234</v>
      </c>
      <c r="D6385">
        <v>3991.24</v>
      </c>
    </row>
    <row r="6386" spans="1:4" x14ac:dyDescent="0.25">
      <c r="A6386" t="s">
        <v>619</v>
      </c>
      <c r="B6386" t="s">
        <v>114</v>
      </c>
      <c r="C6386" s="2">
        <f>HYPERLINK("https://svao.dolgi.msk.ru/account/1760023285/", 1760023285)</f>
        <v>1760023285</v>
      </c>
      <c r="D6386">
        <v>3401.88</v>
      </c>
    </row>
    <row r="6387" spans="1:4" x14ac:dyDescent="0.25">
      <c r="A6387" t="s">
        <v>619</v>
      </c>
      <c r="B6387" t="s">
        <v>79</v>
      </c>
      <c r="C6387" s="2">
        <f>HYPERLINK("https://svao.dolgi.msk.ru/account/1760023314/", 1760023314)</f>
        <v>1760023314</v>
      </c>
      <c r="D6387">
        <v>20255.96</v>
      </c>
    </row>
    <row r="6388" spans="1:4" x14ac:dyDescent="0.25">
      <c r="A6388" t="s">
        <v>619</v>
      </c>
      <c r="B6388" t="s">
        <v>23</v>
      </c>
      <c r="C6388" s="2">
        <f>HYPERLINK("https://svao.dolgi.msk.ru/account/1760023322/", 1760023322)</f>
        <v>1760023322</v>
      </c>
      <c r="D6388">
        <v>2321.33</v>
      </c>
    </row>
    <row r="6389" spans="1:4" x14ac:dyDescent="0.25">
      <c r="A6389" t="s">
        <v>619</v>
      </c>
      <c r="B6389" t="s">
        <v>124</v>
      </c>
      <c r="C6389" s="2">
        <f>HYPERLINK("https://svao.dolgi.msk.ru/account/1760023349/", 1760023349)</f>
        <v>1760023349</v>
      </c>
      <c r="D6389">
        <v>397.53</v>
      </c>
    </row>
    <row r="6390" spans="1:4" x14ac:dyDescent="0.25">
      <c r="A6390" t="s">
        <v>619</v>
      </c>
      <c r="B6390" t="s">
        <v>320</v>
      </c>
      <c r="C6390" s="2">
        <f>HYPERLINK("https://svao.dolgi.msk.ru/account/1760023373/", 1760023373)</f>
        <v>1760023373</v>
      </c>
      <c r="D6390">
        <v>351.9</v>
      </c>
    </row>
    <row r="6391" spans="1:4" x14ac:dyDescent="0.25">
      <c r="A6391" t="s">
        <v>619</v>
      </c>
      <c r="B6391" t="s">
        <v>24</v>
      </c>
      <c r="C6391" s="2">
        <f>HYPERLINK("https://svao.dolgi.msk.ru/account/1760023381/", 1760023381)</f>
        <v>1760023381</v>
      </c>
      <c r="D6391">
        <v>4790.3100000000004</v>
      </c>
    </row>
    <row r="6392" spans="1:4" x14ac:dyDescent="0.25">
      <c r="A6392" t="s">
        <v>619</v>
      </c>
      <c r="B6392" t="s">
        <v>242</v>
      </c>
      <c r="C6392" s="2">
        <f>HYPERLINK("https://svao.dolgi.msk.ru/account/1760023429/", 1760023429)</f>
        <v>1760023429</v>
      </c>
      <c r="D6392">
        <v>3012.1</v>
      </c>
    </row>
    <row r="6393" spans="1:4" x14ac:dyDescent="0.25">
      <c r="A6393" t="s">
        <v>619</v>
      </c>
      <c r="B6393" t="s">
        <v>95</v>
      </c>
      <c r="C6393" s="2">
        <f>HYPERLINK("https://svao.dolgi.msk.ru/account/1760023437/", 1760023437)</f>
        <v>1760023437</v>
      </c>
      <c r="D6393">
        <v>5214.62</v>
      </c>
    </row>
    <row r="6394" spans="1:4" x14ac:dyDescent="0.25">
      <c r="A6394" t="s">
        <v>620</v>
      </c>
      <c r="B6394" t="s">
        <v>41</v>
      </c>
      <c r="C6394" s="2">
        <f>HYPERLINK("https://svao.dolgi.msk.ru/account/1760054567/", 1760054567)</f>
        <v>1760054567</v>
      </c>
      <c r="D6394">
        <v>6342.47</v>
      </c>
    </row>
    <row r="6395" spans="1:4" x14ac:dyDescent="0.25">
      <c r="A6395" t="s">
        <v>620</v>
      </c>
      <c r="B6395" t="s">
        <v>5</v>
      </c>
      <c r="C6395" s="2">
        <f>HYPERLINK("https://svao.dolgi.msk.ru/account/1760271342/", 1760271342)</f>
        <v>1760271342</v>
      </c>
      <c r="D6395">
        <v>126.5</v>
      </c>
    </row>
    <row r="6396" spans="1:4" x14ac:dyDescent="0.25">
      <c r="A6396" t="s">
        <v>620</v>
      </c>
      <c r="B6396" t="s">
        <v>101</v>
      </c>
      <c r="C6396" s="2">
        <f>HYPERLINK("https://svao.dolgi.msk.ru/account/1760054591/", 1760054591)</f>
        <v>1760054591</v>
      </c>
      <c r="D6396">
        <v>8563.07</v>
      </c>
    </row>
    <row r="6397" spans="1:4" x14ac:dyDescent="0.25">
      <c r="A6397" t="s">
        <v>620</v>
      </c>
      <c r="B6397" t="s">
        <v>141</v>
      </c>
      <c r="C6397" s="2">
        <f>HYPERLINK("https://svao.dolgi.msk.ru/account/1760054604/", 1760054604)</f>
        <v>1760054604</v>
      </c>
      <c r="D6397">
        <v>2826.5</v>
      </c>
    </row>
    <row r="6398" spans="1:4" x14ac:dyDescent="0.25">
      <c r="A6398" t="s">
        <v>620</v>
      </c>
      <c r="B6398" t="s">
        <v>103</v>
      </c>
      <c r="C6398" s="2">
        <f>HYPERLINK("https://svao.dolgi.msk.ru/account/1760054639/", 1760054639)</f>
        <v>1760054639</v>
      </c>
      <c r="D6398">
        <v>5695.2</v>
      </c>
    </row>
    <row r="6399" spans="1:4" x14ac:dyDescent="0.25">
      <c r="A6399" t="s">
        <v>620</v>
      </c>
      <c r="B6399" t="s">
        <v>74</v>
      </c>
      <c r="C6399" s="2">
        <f>HYPERLINK("https://svao.dolgi.msk.ru/account/1760054671/", 1760054671)</f>
        <v>1760054671</v>
      </c>
      <c r="D6399">
        <v>172.76</v>
      </c>
    </row>
    <row r="6400" spans="1:4" x14ac:dyDescent="0.25">
      <c r="A6400" t="s">
        <v>620</v>
      </c>
      <c r="B6400" t="s">
        <v>12</v>
      </c>
      <c r="C6400" s="2">
        <f>HYPERLINK("https://svao.dolgi.msk.ru/account/1760054786/", 1760054786)</f>
        <v>1760054786</v>
      </c>
      <c r="D6400">
        <v>11094.69</v>
      </c>
    </row>
    <row r="6401" spans="1:4" x14ac:dyDescent="0.25">
      <c r="A6401" t="s">
        <v>620</v>
      </c>
      <c r="B6401" t="s">
        <v>13</v>
      </c>
      <c r="C6401" s="2">
        <f>HYPERLINK("https://svao.dolgi.msk.ru/account/1760054794/", 1760054794)</f>
        <v>1760054794</v>
      </c>
      <c r="D6401">
        <v>28867.96</v>
      </c>
    </row>
    <row r="6402" spans="1:4" x14ac:dyDescent="0.25">
      <c r="A6402" t="s">
        <v>620</v>
      </c>
      <c r="B6402" t="s">
        <v>108</v>
      </c>
      <c r="C6402" s="2">
        <f>HYPERLINK("https://svao.dolgi.msk.ru/account/1760054858/", 1760054858)</f>
        <v>1760054858</v>
      </c>
      <c r="D6402">
        <v>4201.67</v>
      </c>
    </row>
    <row r="6403" spans="1:4" x14ac:dyDescent="0.25">
      <c r="A6403" t="s">
        <v>620</v>
      </c>
      <c r="B6403" t="s">
        <v>17</v>
      </c>
      <c r="C6403" s="2">
        <f>HYPERLINK("https://svao.dolgi.msk.ru/account/1760054874/", 1760054874)</f>
        <v>1760054874</v>
      </c>
      <c r="D6403">
        <v>3004.34</v>
      </c>
    </row>
    <row r="6404" spans="1:4" x14ac:dyDescent="0.25">
      <c r="A6404" t="s">
        <v>620</v>
      </c>
      <c r="B6404" t="s">
        <v>18</v>
      </c>
      <c r="C6404" s="2">
        <f>HYPERLINK("https://svao.dolgi.msk.ru/account/1760054882/", 1760054882)</f>
        <v>1760054882</v>
      </c>
      <c r="D6404">
        <v>957.52</v>
      </c>
    </row>
    <row r="6405" spans="1:4" x14ac:dyDescent="0.25">
      <c r="A6405" t="s">
        <v>620</v>
      </c>
      <c r="B6405" t="s">
        <v>20</v>
      </c>
      <c r="C6405" s="2">
        <f>HYPERLINK("https://svao.dolgi.msk.ru/account/1760054946/", 1760054946)</f>
        <v>1760054946</v>
      </c>
      <c r="D6405">
        <v>2656.76</v>
      </c>
    </row>
    <row r="6406" spans="1:4" x14ac:dyDescent="0.25">
      <c r="A6406" t="s">
        <v>620</v>
      </c>
      <c r="B6406" t="s">
        <v>92</v>
      </c>
      <c r="C6406" s="2">
        <f>HYPERLINK("https://svao.dolgi.msk.ru/account/1760054962/", 1760054962)</f>
        <v>1760054962</v>
      </c>
      <c r="D6406">
        <v>7829.92</v>
      </c>
    </row>
    <row r="6407" spans="1:4" x14ac:dyDescent="0.25">
      <c r="A6407" t="s">
        <v>620</v>
      </c>
      <c r="B6407" t="s">
        <v>92</v>
      </c>
      <c r="C6407" s="2">
        <f>HYPERLINK("https://svao.dolgi.msk.ru/account/1761793089/", 1761793089)</f>
        <v>1761793089</v>
      </c>
      <c r="D6407">
        <v>5176.2</v>
      </c>
    </row>
    <row r="6408" spans="1:4" x14ac:dyDescent="0.25">
      <c r="A6408" t="s">
        <v>620</v>
      </c>
      <c r="B6408" t="s">
        <v>93</v>
      </c>
      <c r="C6408" s="2">
        <f>HYPERLINK("https://svao.dolgi.msk.ru/account/1760054989/", 1760054989)</f>
        <v>1760054989</v>
      </c>
      <c r="D6408">
        <v>4739.55</v>
      </c>
    </row>
    <row r="6409" spans="1:4" x14ac:dyDescent="0.25">
      <c r="A6409" t="s">
        <v>620</v>
      </c>
      <c r="B6409" t="s">
        <v>111</v>
      </c>
      <c r="C6409" s="2">
        <f>HYPERLINK("https://svao.dolgi.msk.ru/account/1760054997/", 1760054997)</f>
        <v>1760054997</v>
      </c>
      <c r="D6409">
        <v>5006.37</v>
      </c>
    </row>
    <row r="6410" spans="1:4" x14ac:dyDescent="0.25">
      <c r="A6410" t="s">
        <v>620</v>
      </c>
      <c r="B6410" t="s">
        <v>112</v>
      </c>
      <c r="C6410" s="2">
        <f>HYPERLINK("https://svao.dolgi.msk.ru/account/1760055017/", 1760055017)</f>
        <v>1760055017</v>
      </c>
      <c r="D6410">
        <v>3384.37</v>
      </c>
    </row>
    <row r="6411" spans="1:4" x14ac:dyDescent="0.25">
      <c r="A6411" t="s">
        <v>620</v>
      </c>
      <c r="B6411" t="s">
        <v>21</v>
      </c>
      <c r="C6411" s="2">
        <f>HYPERLINK("https://svao.dolgi.msk.ru/account/1760055033/", 1760055033)</f>
        <v>1760055033</v>
      </c>
      <c r="D6411">
        <v>890.58</v>
      </c>
    </row>
    <row r="6412" spans="1:4" x14ac:dyDescent="0.25">
      <c r="A6412" t="s">
        <v>620</v>
      </c>
      <c r="B6412" t="s">
        <v>77</v>
      </c>
      <c r="C6412" s="2">
        <f>HYPERLINK("https://svao.dolgi.msk.ru/account/1760055041/", 1760055041)</f>
        <v>1760055041</v>
      </c>
      <c r="D6412">
        <v>2245.1</v>
      </c>
    </row>
    <row r="6413" spans="1:4" x14ac:dyDescent="0.25">
      <c r="A6413" t="s">
        <v>620</v>
      </c>
      <c r="B6413" t="s">
        <v>79</v>
      </c>
      <c r="C6413" s="2">
        <f>HYPERLINK("https://svao.dolgi.msk.ru/account/1760055092/", 1760055092)</f>
        <v>1760055092</v>
      </c>
      <c r="D6413">
        <v>6381.79</v>
      </c>
    </row>
    <row r="6414" spans="1:4" x14ac:dyDescent="0.25">
      <c r="A6414" t="s">
        <v>620</v>
      </c>
      <c r="B6414" t="s">
        <v>124</v>
      </c>
      <c r="C6414" s="2">
        <f>HYPERLINK("https://svao.dolgi.msk.ru/account/1760055113/", 1760055113)</f>
        <v>1760055113</v>
      </c>
      <c r="D6414">
        <v>3821.96</v>
      </c>
    </row>
    <row r="6415" spans="1:4" x14ac:dyDescent="0.25">
      <c r="A6415" t="s">
        <v>620</v>
      </c>
      <c r="B6415" t="s">
        <v>24</v>
      </c>
      <c r="C6415" s="2">
        <f>HYPERLINK("https://svao.dolgi.msk.ru/account/1760055164/", 1760055164)</f>
        <v>1760055164</v>
      </c>
      <c r="D6415">
        <v>4571.75</v>
      </c>
    </row>
    <row r="6416" spans="1:4" x14ac:dyDescent="0.25">
      <c r="A6416" t="s">
        <v>620</v>
      </c>
      <c r="B6416" t="s">
        <v>314</v>
      </c>
      <c r="C6416" s="2">
        <f>HYPERLINK("https://svao.dolgi.msk.ru/account/1760055172/", 1760055172)</f>
        <v>1760055172</v>
      </c>
      <c r="D6416">
        <v>11060.23</v>
      </c>
    </row>
    <row r="6417" spans="1:4" x14ac:dyDescent="0.25">
      <c r="A6417" t="s">
        <v>620</v>
      </c>
      <c r="B6417" t="s">
        <v>242</v>
      </c>
      <c r="C6417" s="2">
        <f>HYPERLINK("https://svao.dolgi.msk.ru/account/1760055199/", 1760055199)</f>
        <v>1760055199</v>
      </c>
      <c r="D6417">
        <v>4580.6099999999997</v>
      </c>
    </row>
    <row r="6418" spans="1:4" x14ac:dyDescent="0.25">
      <c r="A6418" t="s">
        <v>620</v>
      </c>
      <c r="B6418" t="s">
        <v>125</v>
      </c>
      <c r="C6418" s="2">
        <f>HYPERLINK("https://svao.dolgi.msk.ru/account/1760055236/", 1760055236)</f>
        <v>1760055236</v>
      </c>
      <c r="D6418">
        <v>4199.17</v>
      </c>
    </row>
    <row r="6419" spans="1:4" x14ac:dyDescent="0.25">
      <c r="A6419" t="s">
        <v>620</v>
      </c>
      <c r="B6419" t="s">
        <v>127</v>
      </c>
      <c r="C6419" s="2">
        <f>HYPERLINK("https://svao.dolgi.msk.ru/account/1760055287/", 1760055287)</f>
        <v>1760055287</v>
      </c>
      <c r="D6419">
        <v>16422.66</v>
      </c>
    </row>
    <row r="6420" spans="1:4" x14ac:dyDescent="0.25">
      <c r="A6420" t="s">
        <v>620</v>
      </c>
      <c r="B6420" t="s">
        <v>133</v>
      </c>
      <c r="C6420" s="2">
        <f>HYPERLINK("https://svao.dolgi.msk.ru/account/1760055391/", 1760055391)</f>
        <v>1760055391</v>
      </c>
      <c r="D6420">
        <v>108.14</v>
      </c>
    </row>
    <row r="6421" spans="1:4" x14ac:dyDescent="0.25">
      <c r="A6421" t="s">
        <v>620</v>
      </c>
      <c r="B6421" t="s">
        <v>290</v>
      </c>
      <c r="C6421" s="2">
        <f>HYPERLINK("https://svao.dolgi.msk.ru/account/1760055439/", 1760055439)</f>
        <v>1760055439</v>
      </c>
      <c r="D6421">
        <v>622.74</v>
      </c>
    </row>
    <row r="6422" spans="1:4" x14ac:dyDescent="0.25">
      <c r="A6422" t="s">
        <v>620</v>
      </c>
      <c r="B6422" t="s">
        <v>28</v>
      </c>
      <c r="C6422" s="2">
        <f>HYPERLINK("https://svao.dolgi.msk.ru/account/1760055498/", 1760055498)</f>
        <v>1760055498</v>
      </c>
      <c r="D6422">
        <v>4797.22</v>
      </c>
    </row>
    <row r="6423" spans="1:4" x14ac:dyDescent="0.25">
      <c r="A6423" t="s">
        <v>620</v>
      </c>
      <c r="B6423" t="s">
        <v>129</v>
      </c>
      <c r="C6423" s="2">
        <f>HYPERLINK("https://svao.dolgi.msk.ru/account/1760055535/", 1760055535)</f>
        <v>1760055535</v>
      </c>
      <c r="D6423">
        <v>5357.45</v>
      </c>
    </row>
    <row r="6424" spans="1:4" x14ac:dyDescent="0.25">
      <c r="A6424" t="s">
        <v>620</v>
      </c>
      <c r="B6424" t="s">
        <v>245</v>
      </c>
      <c r="C6424" s="2">
        <f>HYPERLINK("https://svao.dolgi.msk.ru/account/1760055615/", 1760055615)</f>
        <v>1760055615</v>
      </c>
      <c r="D6424">
        <v>4313.3999999999996</v>
      </c>
    </row>
    <row r="6425" spans="1:4" x14ac:dyDescent="0.25">
      <c r="A6425" t="s">
        <v>621</v>
      </c>
      <c r="B6425" t="s">
        <v>41</v>
      </c>
      <c r="C6425" s="2">
        <f>HYPERLINK("https://svao.dolgi.msk.ru/account/1768008741/", 1768008741)</f>
        <v>1768008741</v>
      </c>
      <c r="D6425">
        <v>797.62</v>
      </c>
    </row>
    <row r="6426" spans="1:4" x14ac:dyDescent="0.25">
      <c r="A6426" t="s">
        <v>621</v>
      </c>
      <c r="B6426" t="s">
        <v>5</v>
      </c>
      <c r="C6426" s="2">
        <f>HYPERLINK("https://svao.dolgi.msk.ru/account/1768008768/", 1768008768)</f>
        <v>1768008768</v>
      </c>
      <c r="D6426">
        <v>803.92</v>
      </c>
    </row>
    <row r="6427" spans="1:4" x14ac:dyDescent="0.25">
      <c r="A6427" t="s">
        <v>621</v>
      </c>
      <c r="B6427" t="s">
        <v>7</v>
      </c>
      <c r="C6427" s="2">
        <f>HYPERLINK("https://svao.dolgi.msk.ru/account/1768008776/", 1768008776)</f>
        <v>1768008776</v>
      </c>
      <c r="D6427">
        <v>688.47</v>
      </c>
    </row>
    <row r="6428" spans="1:4" x14ac:dyDescent="0.25">
      <c r="A6428" t="s">
        <v>621</v>
      </c>
      <c r="B6428" t="s">
        <v>101</v>
      </c>
      <c r="C6428" s="2">
        <f>HYPERLINK("https://svao.dolgi.msk.ru/account/1768008784/", 1768008784)</f>
        <v>1768008784</v>
      </c>
      <c r="D6428">
        <v>76639.789999999994</v>
      </c>
    </row>
    <row r="6429" spans="1:4" x14ac:dyDescent="0.25">
      <c r="A6429" t="s">
        <v>621</v>
      </c>
      <c r="B6429" t="s">
        <v>73</v>
      </c>
      <c r="C6429" s="2">
        <f>HYPERLINK("https://svao.dolgi.msk.ru/account/1768008821/", 1768008821)</f>
        <v>1768008821</v>
      </c>
      <c r="D6429">
        <v>950.9</v>
      </c>
    </row>
    <row r="6430" spans="1:4" x14ac:dyDescent="0.25">
      <c r="A6430" t="s">
        <v>621</v>
      </c>
      <c r="B6430" t="s">
        <v>137</v>
      </c>
      <c r="C6430" s="2">
        <f>HYPERLINK("https://svao.dolgi.msk.ru/account/1768008872/", 1768008872)</f>
        <v>1768008872</v>
      </c>
      <c r="D6430">
        <v>607.96</v>
      </c>
    </row>
    <row r="6431" spans="1:4" x14ac:dyDescent="0.25">
      <c r="A6431" t="s">
        <v>621</v>
      </c>
      <c r="B6431" t="s">
        <v>107</v>
      </c>
      <c r="C6431" s="2">
        <f>HYPERLINK("https://svao.dolgi.msk.ru/account/1768008995/", 1768008995)</f>
        <v>1768008995</v>
      </c>
      <c r="D6431">
        <v>558.86</v>
      </c>
    </row>
    <row r="6432" spans="1:4" x14ac:dyDescent="0.25">
      <c r="A6432" t="s">
        <v>621</v>
      </c>
      <c r="B6432" t="s">
        <v>20</v>
      </c>
      <c r="C6432" s="2">
        <f>HYPERLINK("https://svao.dolgi.msk.ru/account/1768005268/", 1768005268)</f>
        <v>1768005268</v>
      </c>
      <c r="D6432">
        <v>462.85</v>
      </c>
    </row>
    <row r="6433" spans="1:4" x14ac:dyDescent="0.25">
      <c r="A6433" t="s">
        <v>621</v>
      </c>
      <c r="B6433" t="s">
        <v>93</v>
      </c>
      <c r="C6433" s="2">
        <f>HYPERLINK("https://svao.dolgi.msk.ru/account/1768009082/", 1768009082)</f>
        <v>1768009082</v>
      </c>
      <c r="D6433">
        <v>1031.44</v>
      </c>
    </row>
    <row r="6434" spans="1:4" x14ac:dyDescent="0.25">
      <c r="A6434" t="s">
        <v>621</v>
      </c>
      <c r="B6434" t="s">
        <v>112</v>
      </c>
      <c r="C6434" s="2">
        <f>HYPERLINK("https://svao.dolgi.msk.ru/account/1768009111/", 1768009111)</f>
        <v>1768009111</v>
      </c>
      <c r="D6434">
        <v>868.07</v>
      </c>
    </row>
    <row r="6435" spans="1:4" x14ac:dyDescent="0.25">
      <c r="A6435" t="s">
        <v>621</v>
      </c>
      <c r="B6435" t="s">
        <v>113</v>
      </c>
      <c r="C6435" s="2">
        <f>HYPERLINK("https://svao.dolgi.msk.ru/account/1768009138/", 1768009138)</f>
        <v>1768009138</v>
      </c>
      <c r="D6435">
        <v>10579.58</v>
      </c>
    </row>
    <row r="6436" spans="1:4" x14ac:dyDescent="0.25">
      <c r="A6436" t="s">
        <v>621</v>
      </c>
      <c r="B6436" t="s">
        <v>78</v>
      </c>
      <c r="C6436" s="2">
        <f>HYPERLINK("https://svao.dolgi.msk.ru/account/1768009189/", 1768009189)</f>
        <v>1768009189</v>
      </c>
      <c r="D6436">
        <v>809.38</v>
      </c>
    </row>
    <row r="6437" spans="1:4" x14ac:dyDescent="0.25">
      <c r="A6437" t="s">
        <v>621</v>
      </c>
      <c r="B6437" t="s">
        <v>79</v>
      </c>
      <c r="C6437" s="2">
        <f>HYPERLINK("https://svao.dolgi.msk.ru/account/1768009218/", 1768009218)</f>
        <v>1768009218</v>
      </c>
      <c r="D6437">
        <v>57802.04</v>
      </c>
    </row>
    <row r="6438" spans="1:4" x14ac:dyDescent="0.25">
      <c r="A6438" t="s">
        <v>621</v>
      </c>
      <c r="B6438" t="s">
        <v>23</v>
      </c>
      <c r="C6438" s="2">
        <f>HYPERLINK("https://svao.dolgi.msk.ru/account/1768009226/", 1768009226)</f>
        <v>1768009226</v>
      </c>
      <c r="D6438">
        <v>810.21</v>
      </c>
    </row>
    <row r="6439" spans="1:4" x14ac:dyDescent="0.25">
      <c r="A6439" t="s">
        <v>621</v>
      </c>
      <c r="B6439" t="s">
        <v>117</v>
      </c>
      <c r="C6439" s="2">
        <f>HYPERLINK("https://svao.dolgi.msk.ru/account/1768009242/", 1768009242)</f>
        <v>1768009242</v>
      </c>
      <c r="D6439">
        <v>704.85</v>
      </c>
    </row>
    <row r="6440" spans="1:4" x14ac:dyDescent="0.25">
      <c r="A6440" t="s">
        <v>621</v>
      </c>
      <c r="B6440" t="s">
        <v>131</v>
      </c>
      <c r="C6440" s="2">
        <f>HYPERLINK("https://svao.dolgi.msk.ru/account/1768005487/", 1768005487)</f>
        <v>1768005487</v>
      </c>
      <c r="D6440">
        <v>45917.33</v>
      </c>
    </row>
    <row r="6441" spans="1:4" x14ac:dyDescent="0.25">
      <c r="A6441" t="s">
        <v>621</v>
      </c>
      <c r="B6441" t="s">
        <v>125</v>
      </c>
      <c r="C6441" s="2">
        <f>HYPERLINK("https://svao.dolgi.msk.ru/account/1768009314/", 1768009314)</f>
        <v>1768009314</v>
      </c>
      <c r="D6441">
        <v>2099.1999999999998</v>
      </c>
    </row>
    <row r="6442" spans="1:4" x14ac:dyDescent="0.25">
      <c r="A6442" t="s">
        <v>621</v>
      </c>
      <c r="B6442" t="s">
        <v>80</v>
      </c>
      <c r="C6442" s="2">
        <f>HYPERLINK("https://svao.dolgi.msk.ru/account/1768009322/", 1768009322)</f>
        <v>1768009322</v>
      </c>
      <c r="D6442">
        <v>577.26</v>
      </c>
    </row>
    <row r="6443" spans="1:4" x14ac:dyDescent="0.25">
      <c r="A6443" t="s">
        <v>621</v>
      </c>
      <c r="B6443" t="s">
        <v>82</v>
      </c>
      <c r="C6443" s="2">
        <f>HYPERLINK("https://svao.dolgi.msk.ru/account/1768005225/", 1768005225)</f>
        <v>1768005225</v>
      </c>
      <c r="D6443">
        <v>1410.73</v>
      </c>
    </row>
    <row r="6444" spans="1:4" x14ac:dyDescent="0.25">
      <c r="A6444" t="s">
        <v>621</v>
      </c>
      <c r="B6444" t="s">
        <v>26</v>
      </c>
      <c r="C6444" s="2">
        <f>HYPERLINK("https://svao.dolgi.msk.ru/account/1768009402/", 1768009402)</f>
        <v>1768009402</v>
      </c>
      <c r="D6444">
        <v>814.22</v>
      </c>
    </row>
    <row r="6445" spans="1:4" x14ac:dyDescent="0.25">
      <c r="A6445" t="s">
        <v>621</v>
      </c>
      <c r="B6445" t="s">
        <v>27</v>
      </c>
      <c r="C6445" s="2">
        <f>HYPERLINK("https://svao.dolgi.msk.ru/account/1768009437/", 1768009437)</f>
        <v>1768009437</v>
      </c>
      <c r="D6445">
        <v>29472.92</v>
      </c>
    </row>
    <row r="6446" spans="1:4" x14ac:dyDescent="0.25">
      <c r="A6446" t="s">
        <v>621</v>
      </c>
      <c r="B6446" t="s">
        <v>139</v>
      </c>
      <c r="C6446" s="2">
        <f>HYPERLINK("https://svao.dolgi.msk.ru/account/1768009461/", 1768009461)</f>
        <v>1768009461</v>
      </c>
      <c r="D6446">
        <v>226.76</v>
      </c>
    </row>
    <row r="6447" spans="1:4" x14ac:dyDescent="0.25">
      <c r="A6447" t="s">
        <v>621</v>
      </c>
      <c r="B6447" t="s">
        <v>129</v>
      </c>
      <c r="C6447" s="2">
        <f>HYPERLINK("https://svao.dolgi.msk.ru/account/1768009509/", 1768009509)</f>
        <v>1768009509</v>
      </c>
      <c r="D6447">
        <v>2390.3000000000002</v>
      </c>
    </row>
    <row r="6448" spans="1:4" x14ac:dyDescent="0.25">
      <c r="A6448" t="s">
        <v>621</v>
      </c>
      <c r="B6448" t="s">
        <v>30</v>
      </c>
      <c r="C6448" s="2">
        <f>HYPERLINK("https://svao.dolgi.msk.ru/account/1768005241/", 1768005241)</f>
        <v>1768005241</v>
      </c>
      <c r="D6448">
        <v>127.02</v>
      </c>
    </row>
    <row r="6449" spans="1:4" x14ac:dyDescent="0.25">
      <c r="A6449" t="s">
        <v>621</v>
      </c>
      <c r="B6449" t="s">
        <v>97</v>
      </c>
      <c r="C6449" s="2">
        <f>HYPERLINK("https://svao.dolgi.msk.ru/account/1768009517/", 1768009517)</f>
        <v>1768009517</v>
      </c>
      <c r="D6449">
        <v>539.5</v>
      </c>
    </row>
    <row r="6450" spans="1:4" x14ac:dyDescent="0.25">
      <c r="A6450" t="s">
        <v>621</v>
      </c>
      <c r="B6450" t="s">
        <v>84</v>
      </c>
      <c r="C6450" s="2">
        <f>HYPERLINK("https://svao.dolgi.msk.ru/account/1768005305/", 1768005305)</f>
        <v>1768005305</v>
      </c>
      <c r="D6450">
        <v>345.15</v>
      </c>
    </row>
    <row r="6451" spans="1:4" x14ac:dyDescent="0.25">
      <c r="A6451" t="s">
        <v>621</v>
      </c>
      <c r="B6451" t="s">
        <v>291</v>
      </c>
      <c r="C6451" s="2">
        <f>HYPERLINK("https://svao.dolgi.msk.ru/account/1768009533/", 1768009533)</f>
        <v>1768009533</v>
      </c>
      <c r="D6451">
        <v>625.09</v>
      </c>
    </row>
    <row r="6452" spans="1:4" x14ac:dyDescent="0.25">
      <c r="A6452" t="s">
        <v>621</v>
      </c>
      <c r="B6452" t="s">
        <v>32</v>
      </c>
      <c r="C6452" s="2">
        <f>HYPERLINK("https://svao.dolgi.msk.ru/account/1768005401/", 1768005401)</f>
        <v>1768005401</v>
      </c>
      <c r="D6452">
        <v>2108.63</v>
      </c>
    </row>
    <row r="6453" spans="1:4" x14ac:dyDescent="0.25">
      <c r="A6453" t="s">
        <v>621</v>
      </c>
      <c r="B6453" t="s">
        <v>33</v>
      </c>
      <c r="C6453" s="2">
        <f>HYPERLINK("https://svao.dolgi.msk.ru/account/1768009576/", 1768009576)</f>
        <v>1768009576</v>
      </c>
      <c r="D6453">
        <v>350.53</v>
      </c>
    </row>
    <row r="6454" spans="1:4" x14ac:dyDescent="0.25">
      <c r="A6454" t="s">
        <v>621</v>
      </c>
      <c r="B6454" t="s">
        <v>35</v>
      </c>
      <c r="C6454" s="2">
        <f>HYPERLINK("https://svao.dolgi.msk.ru/account/1768005313/", 1768005313)</f>
        <v>1768005313</v>
      </c>
      <c r="D6454">
        <v>810.21</v>
      </c>
    </row>
    <row r="6455" spans="1:4" x14ac:dyDescent="0.25">
      <c r="A6455" t="s">
        <v>621</v>
      </c>
      <c r="B6455" t="s">
        <v>99</v>
      </c>
      <c r="C6455" s="2">
        <f>HYPERLINK("https://svao.dolgi.msk.ru/account/1768009592/", 1768009592)</f>
        <v>1768009592</v>
      </c>
      <c r="D6455">
        <v>2410.63</v>
      </c>
    </row>
    <row r="6456" spans="1:4" x14ac:dyDescent="0.25">
      <c r="A6456" t="s">
        <v>622</v>
      </c>
      <c r="B6456" t="s">
        <v>41</v>
      </c>
      <c r="C6456" s="2">
        <f>HYPERLINK("https://svao.dolgi.msk.ru/account/1760190665/", 1760190665)</f>
        <v>1760190665</v>
      </c>
      <c r="D6456">
        <v>4180.6000000000004</v>
      </c>
    </row>
    <row r="6457" spans="1:4" x14ac:dyDescent="0.25">
      <c r="A6457" t="s">
        <v>622</v>
      </c>
      <c r="B6457" t="s">
        <v>102</v>
      </c>
      <c r="C6457" s="2">
        <f>HYPERLINK("https://svao.dolgi.msk.ru/account/1760190737/", 1760190737)</f>
        <v>1760190737</v>
      </c>
      <c r="D6457">
        <v>3158.46</v>
      </c>
    </row>
    <row r="6458" spans="1:4" x14ac:dyDescent="0.25">
      <c r="A6458" t="s">
        <v>622</v>
      </c>
      <c r="B6458" t="s">
        <v>8</v>
      </c>
      <c r="C6458" s="2">
        <f>HYPERLINK("https://svao.dolgi.msk.ru/account/1760190788/", 1760190788)</f>
        <v>1760190788</v>
      </c>
      <c r="D6458">
        <v>3736.09</v>
      </c>
    </row>
    <row r="6459" spans="1:4" x14ac:dyDescent="0.25">
      <c r="A6459" t="s">
        <v>622</v>
      </c>
      <c r="B6459" t="s">
        <v>10</v>
      </c>
      <c r="C6459" s="2">
        <f>HYPERLINK("https://svao.dolgi.msk.ru/account/1760190841/", 1760190841)</f>
        <v>1760190841</v>
      </c>
      <c r="D6459">
        <v>6371.26</v>
      </c>
    </row>
    <row r="6460" spans="1:4" x14ac:dyDescent="0.25">
      <c r="A6460" t="s">
        <v>622</v>
      </c>
      <c r="B6460" t="s">
        <v>13</v>
      </c>
      <c r="C6460" s="2">
        <f>HYPERLINK("https://svao.dolgi.msk.ru/account/1760190892/", 1760190892)</f>
        <v>1760190892</v>
      </c>
      <c r="D6460">
        <v>9528.74</v>
      </c>
    </row>
    <row r="6461" spans="1:4" x14ac:dyDescent="0.25">
      <c r="A6461" t="s">
        <v>622</v>
      </c>
      <c r="B6461" t="s">
        <v>15</v>
      </c>
      <c r="C6461" s="2">
        <f>HYPERLINK("https://svao.dolgi.msk.ru/account/1760190948/", 1760190948)</f>
        <v>1760190948</v>
      </c>
      <c r="D6461">
        <v>9791.06</v>
      </c>
    </row>
    <row r="6462" spans="1:4" x14ac:dyDescent="0.25">
      <c r="A6462" t="s">
        <v>622</v>
      </c>
      <c r="B6462" t="s">
        <v>16</v>
      </c>
      <c r="C6462" s="2">
        <f>HYPERLINK("https://svao.dolgi.msk.ru/account/1760190964/", 1760190964)</f>
        <v>1760190964</v>
      </c>
      <c r="D6462">
        <v>2121.16</v>
      </c>
    </row>
    <row r="6463" spans="1:4" x14ac:dyDescent="0.25">
      <c r="A6463" t="s">
        <v>622</v>
      </c>
      <c r="B6463" t="s">
        <v>20</v>
      </c>
      <c r="C6463" s="2">
        <f>HYPERLINK("https://svao.dolgi.msk.ru/account/1760191043/", 1760191043)</f>
        <v>1760191043</v>
      </c>
      <c r="D6463">
        <v>14625.3</v>
      </c>
    </row>
    <row r="6464" spans="1:4" x14ac:dyDescent="0.25">
      <c r="A6464" t="s">
        <v>622</v>
      </c>
      <c r="B6464" t="s">
        <v>93</v>
      </c>
      <c r="C6464" s="2">
        <f>HYPERLINK("https://svao.dolgi.msk.ru/account/1760191086/", 1760191086)</f>
        <v>1760191086</v>
      </c>
      <c r="D6464">
        <v>1864.1</v>
      </c>
    </row>
    <row r="6465" spans="1:4" x14ac:dyDescent="0.25">
      <c r="A6465" t="s">
        <v>622</v>
      </c>
      <c r="B6465" t="s">
        <v>21</v>
      </c>
      <c r="C6465" s="2">
        <f>HYPERLINK("https://svao.dolgi.msk.ru/account/1760191131/", 1760191131)</f>
        <v>1760191131</v>
      </c>
      <c r="D6465">
        <v>5469.66</v>
      </c>
    </row>
    <row r="6466" spans="1:4" x14ac:dyDescent="0.25">
      <c r="A6466" t="s">
        <v>622</v>
      </c>
      <c r="B6466" t="s">
        <v>117</v>
      </c>
      <c r="C6466" s="2">
        <f>HYPERLINK("https://svao.dolgi.msk.ru/account/1760191246/", 1760191246)</f>
        <v>1760191246</v>
      </c>
      <c r="D6466">
        <v>5578.15</v>
      </c>
    </row>
    <row r="6467" spans="1:4" x14ac:dyDescent="0.25">
      <c r="A6467" t="s">
        <v>622</v>
      </c>
      <c r="B6467" t="s">
        <v>320</v>
      </c>
      <c r="C6467" s="2">
        <f>HYPERLINK("https://svao.dolgi.msk.ru/account/1760191262/", 1760191262)</f>
        <v>1760191262</v>
      </c>
      <c r="D6467">
        <v>4832.32</v>
      </c>
    </row>
    <row r="6468" spans="1:4" x14ac:dyDescent="0.25">
      <c r="A6468" t="s">
        <v>622</v>
      </c>
      <c r="B6468" t="s">
        <v>118</v>
      </c>
      <c r="C6468" s="2">
        <f>HYPERLINK("https://svao.dolgi.msk.ru/account/1760191385/", 1760191385)</f>
        <v>1760191385</v>
      </c>
      <c r="D6468">
        <v>4223.2</v>
      </c>
    </row>
    <row r="6469" spans="1:4" x14ac:dyDescent="0.25">
      <c r="A6469" t="s">
        <v>622</v>
      </c>
      <c r="B6469" t="s">
        <v>81</v>
      </c>
      <c r="C6469" s="2">
        <f>HYPERLINK("https://svao.dolgi.msk.ru/account/1760191406/", 1760191406)</f>
        <v>1760191406</v>
      </c>
      <c r="D6469">
        <v>133.27000000000001</v>
      </c>
    </row>
    <row r="6470" spans="1:4" x14ac:dyDescent="0.25">
      <c r="A6470" t="s">
        <v>622</v>
      </c>
      <c r="B6470" t="s">
        <v>120</v>
      </c>
      <c r="C6470" s="2">
        <f>HYPERLINK("https://svao.dolgi.msk.ru/account/1760191422/", 1760191422)</f>
        <v>1760191422</v>
      </c>
      <c r="D6470">
        <v>7640.17</v>
      </c>
    </row>
    <row r="6471" spans="1:4" x14ac:dyDescent="0.25">
      <c r="A6471" t="s">
        <v>622</v>
      </c>
      <c r="B6471" t="s">
        <v>26</v>
      </c>
      <c r="C6471" s="2">
        <f>HYPERLINK("https://svao.dolgi.msk.ru/account/1760191502/", 1760191502)</f>
        <v>1760191502</v>
      </c>
      <c r="D6471">
        <v>8041.64</v>
      </c>
    </row>
    <row r="6472" spans="1:4" x14ac:dyDescent="0.25">
      <c r="A6472" t="s">
        <v>622</v>
      </c>
      <c r="B6472" t="s">
        <v>27</v>
      </c>
      <c r="C6472" s="2">
        <f>HYPERLINK("https://svao.dolgi.msk.ru/account/1760191545/", 1760191545)</f>
        <v>1760191545</v>
      </c>
      <c r="D6472">
        <v>4688.03</v>
      </c>
    </row>
    <row r="6473" spans="1:4" x14ac:dyDescent="0.25">
      <c r="A6473" t="s">
        <v>622</v>
      </c>
      <c r="B6473" t="s">
        <v>243</v>
      </c>
      <c r="C6473" s="2">
        <f>HYPERLINK("https://svao.dolgi.msk.ru/account/1760191561/", 1760191561)</f>
        <v>1760191561</v>
      </c>
      <c r="D6473">
        <v>10526.64</v>
      </c>
    </row>
    <row r="6474" spans="1:4" x14ac:dyDescent="0.25">
      <c r="A6474" t="s">
        <v>622</v>
      </c>
      <c r="B6474" t="s">
        <v>244</v>
      </c>
      <c r="C6474" s="2">
        <f>HYPERLINK("https://svao.dolgi.msk.ru/account/1760191633/", 1760191633)</f>
        <v>1760191633</v>
      </c>
      <c r="D6474">
        <v>6642.59</v>
      </c>
    </row>
    <row r="6475" spans="1:4" x14ac:dyDescent="0.25">
      <c r="A6475" t="s">
        <v>622</v>
      </c>
      <c r="B6475" t="s">
        <v>30</v>
      </c>
      <c r="C6475" s="2">
        <f>HYPERLINK("https://svao.dolgi.msk.ru/account/1760191668/", 1760191668)</f>
        <v>1760191668</v>
      </c>
      <c r="D6475">
        <v>6368.56</v>
      </c>
    </row>
    <row r="6476" spans="1:4" x14ac:dyDescent="0.25">
      <c r="A6476" t="s">
        <v>622</v>
      </c>
      <c r="B6476" t="s">
        <v>84</v>
      </c>
      <c r="C6476" s="2">
        <f>HYPERLINK("https://svao.dolgi.msk.ru/account/1760191684/", 1760191684)</f>
        <v>1760191684</v>
      </c>
      <c r="D6476">
        <v>3003.19</v>
      </c>
    </row>
    <row r="6477" spans="1:4" x14ac:dyDescent="0.25">
      <c r="A6477" t="s">
        <v>622</v>
      </c>
      <c r="B6477" t="s">
        <v>31</v>
      </c>
      <c r="C6477" s="2">
        <f>HYPERLINK("https://svao.dolgi.msk.ru/account/1761812315/", 1761812315)</f>
        <v>1761812315</v>
      </c>
      <c r="D6477">
        <v>10291.67</v>
      </c>
    </row>
    <row r="6478" spans="1:4" x14ac:dyDescent="0.25">
      <c r="A6478" t="s">
        <v>622</v>
      </c>
      <c r="B6478" t="s">
        <v>31</v>
      </c>
      <c r="C6478" s="2">
        <f>HYPERLINK("https://svao.dolgi.msk.ru/account/1761812331/", 1761812331)</f>
        <v>1761812331</v>
      </c>
      <c r="D6478">
        <v>36212.33</v>
      </c>
    </row>
    <row r="6479" spans="1:4" x14ac:dyDescent="0.25">
      <c r="A6479" t="s">
        <v>622</v>
      </c>
      <c r="B6479" t="s">
        <v>31</v>
      </c>
      <c r="C6479" s="2">
        <f>HYPERLINK("https://svao.dolgi.msk.ru/account/1761812366/", 1761812366)</f>
        <v>1761812366</v>
      </c>
      <c r="D6479">
        <v>10273.66</v>
      </c>
    </row>
    <row r="6480" spans="1:4" x14ac:dyDescent="0.25">
      <c r="A6480" t="s">
        <v>622</v>
      </c>
      <c r="B6480" t="s">
        <v>34</v>
      </c>
      <c r="C6480" s="2">
        <f>HYPERLINK("https://svao.dolgi.msk.ru/account/1760191772/", 1760191772)</f>
        <v>1760191772</v>
      </c>
      <c r="D6480">
        <v>1935.19</v>
      </c>
    </row>
    <row r="6481" spans="1:4" x14ac:dyDescent="0.25">
      <c r="A6481" t="s">
        <v>622</v>
      </c>
      <c r="B6481" t="s">
        <v>86</v>
      </c>
      <c r="C6481" s="2">
        <f>HYPERLINK("https://svao.dolgi.msk.ru/account/1760191836/", 1760191836)</f>
        <v>1760191836</v>
      </c>
      <c r="D6481">
        <v>618.85</v>
      </c>
    </row>
    <row r="6482" spans="1:4" x14ac:dyDescent="0.25">
      <c r="A6482" t="s">
        <v>622</v>
      </c>
      <c r="B6482" t="s">
        <v>87</v>
      </c>
      <c r="C6482" s="2">
        <f>HYPERLINK("https://svao.dolgi.msk.ru/account/1761792748/", 1761792748)</f>
        <v>1761792748</v>
      </c>
      <c r="D6482">
        <v>631.69000000000005</v>
      </c>
    </row>
    <row r="6483" spans="1:4" x14ac:dyDescent="0.25">
      <c r="A6483" t="s">
        <v>622</v>
      </c>
      <c r="B6483" t="s">
        <v>246</v>
      </c>
      <c r="C6483" s="2">
        <f>HYPERLINK("https://svao.dolgi.msk.ru/account/1760191932/", 1760191932)</f>
        <v>1760191932</v>
      </c>
      <c r="D6483">
        <v>1947.48</v>
      </c>
    </row>
    <row r="6484" spans="1:4" x14ac:dyDescent="0.25">
      <c r="A6484" t="s">
        <v>622</v>
      </c>
      <c r="B6484" t="s">
        <v>43</v>
      </c>
      <c r="C6484" s="2">
        <f>HYPERLINK("https://svao.dolgi.msk.ru/account/1760191967/", 1760191967)</f>
        <v>1760191967</v>
      </c>
      <c r="D6484">
        <v>2680.71</v>
      </c>
    </row>
    <row r="6485" spans="1:4" x14ac:dyDescent="0.25">
      <c r="A6485" t="s">
        <v>622</v>
      </c>
      <c r="B6485" t="s">
        <v>142</v>
      </c>
      <c r="C6485" s="2">
        <f>HYPERLINK("https://svao.dolgi.msk.ru/account/1760192003/", 1760192003)</f>
        <v>1760192003</v>
      </c>
      <c r="D6485">
        <v>175276.44</v>
      </c>
    </row>
    <row r="6486" spans="1:4" x14ac:dyDescent="0.25">
      <c r="A6486" t="s">
        <v>622</v>
      </c>
      <c r="B6486" t="s">
        <v>247</v>
      </c>
      <c r="C6486" s="2">
        <f>HYPERLINK("https://svao.dolgi.msk.ru/account/1760192011/", 1760192011)</f>
        <v>1760192011</v>
      </c>
      <c r="D6486">
        <v>113.93</v>
      </c>
    </row>
    <row r="6487" spans="1:4" x14ac:dyDescent="0.25">
      <c r="A6487" t="s">
        <v>622</v>
      </c>
      <c r="B6487" t="s">
        <v>143</v>
      </c>
      <c r="C6487" s="2">
        <f>HYPERLINK("https://svao.dolgi.msk.ru/account/1760192046/", 1760192046)</f>
        <v>1760192046</v>
      </c>
      <c r="D6487">
        <v>76673.67</v>
      </c>
    </row>
    <row r="6488" spans="1:4" x14ac:dyDescent="0.25">
      <c r="A6488" t="s">
        <v>622</v>
      </c>
      <c r="B6488" t="s">
        <v>144</v>
      </c>
      <c r="C6488" s="2">
        <f>HYPERLINK("https://svao.dolgi.msk.ru/account/1760192062/", 1760192062)</f>
        <v>1760192062</v>
      </c>
      <c r="D6488">
        <v>8862.15</v>
      </c>
    </row>
    <row r="6489" spans="1:4" x14ac:dyDescent="0.25">
      <c r="A6489" t="s">
        <v>622</v>
      </c>
      <c r="B6489" t="s">
        <v>315</v>
      </c>
      <c r="C6489" s="2">
        <f>HYPERLINK("https://svao.dolgi.msk.ru/account/1760192089/", 1760192089)</f>
        <v>1760192089</v>
      </c>
      <c r="D6489">
        <v>7715.7</v>
      </c>
    </row>
    <row r="6490" spans="1:4" x14ac:dyDescent="0.25">
      <c r="A6490" t="s">
        <v>622</v>
      </c>
      <c r="B6490" t="s">
        <v>46</v>
      </c>
      <c r="C6490" s="2">
        <f>HYPERLINK("https://svao.dolgi.msk.ru/account/1760192126/", 1760192126)</f>
        <v>1760192126</v>
      </c>
      <c r="D6490">
        <v>4501.4799999999996</v>
      </c>
    </row>
    <row r="6491" spans="1:4" x14ac:dyDescent="0.25">
      <c r="A6491" t="s">
        <v>622</v>
      </c>
      <c r="B6491" t="s">
        <v>47</v>
      </c>
      <c r="C6491" s="2">
        <f>HYPERLINK("https://svao.dolgi.msk.ru/account/1761819824/", 1761819824)</f>
        <v>1761819824</v>
      </c>
      <c r="D6491">
        <v>937.36</v>
      </c>
    </row>
    <row r="6492" spans="1:4" x14ac:dyDescent="0.25">
      <c r="A6492" t="s">
        <v>622</v>
      </c>
      <c r="B6492" t="s">
        <v>48</v>
      </c>
      <c r="C6492" s="2">
        <f>HYPERLINK("https://svao.dolgi.msk.ru/account/1760192206/", 1760192206)</f>
        <v>1760192206</v>
      </c>
      <c r="D6492">
        <v>5821.93</v>
      </c>
    </row>
    <row r="6493" spans="1:4" x14ac:dyDescent="0.25">
      <c r="A6493" t="s">
        <v>622</v>
      </c>
      <c r="B6493" t="s">
        <v>49</v>
      </c>
      <c r="C6493" s="2">
        <f>HYPERLINK("https://svao.dolgi.msk.ru/account/1760192214/", 1760192214)</f>
        <v>1760192214</v>
      </c>
      <c r="D6493">
        <v>3672.76</v>
      </c>
    </row>
    <row r="6494" spans="1:4" x14ac:dyDescent="0.25">
      <c r="A6494" t="s">
        <v>622</v>
      </c>
      <c r="B6494" t="s">
        <v>152</v>
      </c>
      <c r="C6494" s="2">
        <f>HYPERLINK("https://svao.dolgi.msk.ru/account/1760192441/", 1760192441)</f>
        <v>1760192441</v>
      </c>
      <c r="D6494">
        <v>6620.03</v>
      </c>
    </row>
    <row r="6495" spans="1:4" x14ac:dyDescent="0.25">
      <c r="A6495" t="s">
        <v>622</v>
      </c>
      <c r="B6495" t="s">
        <v>53</v>
      </c>
      <c r="C6495" s="2">
        <f>HYPERLINK("https://svao.dolgi.msk.ru/account/1760192476/", 1760192476)</f>
        <v>1760192476</v>
      </c>
      <c r="D6495">
        <v>151.51</v>
      </c>
    </row>
    <row r="6496" spans="1:4" x14ac:dyDescent="0.25">
      <c r="A6496" t="s">
        <v>622</v>
      </c>
      <c r="B6496" t="s">
        <v>428</v>
      </c>
      <c r="C6496" s="2">
        <f>HYPERLINK("https://svao.dolgi.msk.ru/account/1760192505/", 1760192505)</f>
        <v>1760192505</v>
      </c>
      <c r="D6496">
        <v>13099.36</v>
      </c>
    </row>
    <row r="6497" spans="1:4" x14ac:dyDescent="0.25">
      <c r="A6497" t="s">
        <v>622</v>
      </c>
      <c r="B6497" t="s">
        <v>55</v>
      </c>
      <c r="C6497" s="2">
        <f>HYPERLINK("https://svao.dolgi.msk.ru/account/1760192572/", 1760192572)</f>
        <v>1760192572</v>
      </c>
      <c r="D6497">
        <v>7437.8</v>
      </c>
    </row>
    <row r="6498" spans="1:4" x14ac:dyDescent="0.25">
      <c r="A6498" t="s">
        <v>622</v>
      </c>
      <c r="B6498" t="s">
        <v>298</v>
      </c>
      <c r="C6498" s="2">
        <f>HYPERLINK("https://svao.dolgi.msk.ru/account/1760192601/", 1760192601)</f>
        <v>1760192601</v>
      </c>
      <c r="D6498">
        <v>2344.66</v>
      </c>
    </row>
    <row r="6499" spans="1:4" x14ac:dyDescent="0.25">
      <c r="A6499" t="s">
        <v>622</v>
      </c>
      <c r="B6499" t="s">
        <v>153</v>
      </c>
      <c r="C6499" s="2">
        <f>HYPERLINK("https://svao.dolgi.msk.ru/account/1760192628/", 1760192628)</f>
        <v>1760192628</v>
      </c>
      <c r="D6499">
        <v>3747.66</v>
      </c>
    </row>
    <row r="6500" spans="1:4" x14ac:dyDescent="0.25">
      <c r="A6500" t="s">
        <v>622</v>
      </c>
      <c r="B6500" t="s">
        <v>154</v>
      </c>
      <c r="C6500" s="2">
        <f>HYPERLINK("https://svao.dolgi.msk.ru/account/1760192652/", 1760192652)</f>
        <v>1760192652</v>
      </c>
      <c r="D6500">
        <v>1211.3699999999999</v>
      </c>
    </row>
    <row r="6501" spans="1:4" x14ac:dyDescent="0.25">
      <c r="A6501" t="s">
        <v>622</v>
      </c>
      <c r="B6501" t="s">
        <v>340</v>
      </c>
      <c r="C6501" s="2">
        <f>HYPERLINK("https://svao.dolgi.msk.ru/account/1760192759/", 1760192759)</f>
        <v>1760192759</v>
      </c>
      <c r="D6501">
        <v>6537.49</v>
      </c>
    </row>
    <row r="6502" spans="1:4" x14ac:dyDescent="0.25">
      <c r="A6502" t="s">
        <v>622</v>
      </c>
      <c r="B6502" t="s">
        <v>377</v>
      </c>
      <c r="C6502" s="2">
        <f>HYPERLINK("https://svao.dolgi.msk.ru/account/1760192775/", 1760192775)</f>
        <v>1760192775</v>
      </c>
      <c r="D6502">
        <v>4204.28</v>
      </c>
    </row>
    <row r="6503" spans="1:4" x14ac:dyDescent="0.25">
      <c r="A6503" t="s">
        <v>622</v>
      </c>
      <c r="B6503" t="s">
        <v>256</v>
      </c>
      <c r="C6503" s="2">
        <f>HYPERLINK("https://svao.dolgi.msk.ru/account/1760192847/", 1760192847)</f>
        <v>1760192847</v>
      </c>
      <c r="D6503">
        <v>20669.47</v>
      </c>
    </row>
    <row r="6504" spans="1:4" x14ac:dyDescent="0.25">
      <c r="A6504" t="s">
        <v>622</v>
      </c>
      <c r="B6504" t="s">
        <v>61</v>
      </c>
      <c r="C6504" s="2">
        <f>HYPERLINK("https://svao.dolgi.msk.ru/account/1760192927/", 1760192927)</f>
        <v>1760192927</v>
      </c>
      <c r="D6504">
        <v>16173.82</v>
      </c>
    </row>
    <row r="6505" spans="1:4" x14ac:dyDescent="0.25">
      <c r="A6505" t="s">
        <v>622</v>
      </c>
      <c r="B6505" t="s">
        <v>62</v>
      </c>
      <c r="C6505" s="2">
        <f>HYPERLINK("https://svao.dolgi.msk.ru/account/1760192943/", 1760192943)</f>
        <v>1760192943</v>
      </c>
      <c r="D6505">
        <v>8779.7099999999991</v>
      </c>
    </row>
    <row r="6506" spans="1:4" x14ac:dyDescent="0.25">
      <c r="A6506" t="s">
        <v>622</v>
      </c>
      <c r="B6506" t="s">
        <v>257</v>
      </c>
      <c r="C6506" s="2">
        <f>HYPERLINK("https://svao.dolgi.msk.ru/account/1760192951/", 1760192951)</f>
        <v>1760192951</v>
      </c>
      <c r="D6506">
        <v>5731.21</v>
      </c>
    </row>
    <row r="6507" spans="1:4" x14ac:dyDescent="0.25">
      <c r="A6507" t="s">
        <v>622</v>
      </c>
      <c r="B6507" t="s">
        <v>160</v>
      </c>
      <c r="C6507" s="2">
        <f>HYPERLINK("https://svao.dolgi.msk.ru/account/1760192986/", 1760192986)</f>
        <v>1760192986</v>
      </c>
      <c r="D6507">
        <v>7400.61</v>
      </c>
    </row>
    <row r="6508" spans="1:4" x14ac:dyDescent="0.25">
      <c r="A6508" t="s">
        <v>622</v>
      </c>
      <c r="B6508" t="s">
        <v>63</v>
      </c>
      <c r="C6508" s="2">
        <f>HYPERLINK("https://svao.dolgi.msk.ru/account/1760192994/", 1760192994)</f>
        <v>1760192994</v>
      </c>
      <c r="D6508">
        <v>60563.75</v>
      </c>
    </row>
    <row r="6509" spans="1:4" x14ac:dyDescent="0.25">
      <c r="A6509" t="s">
        <v>622</v>
      </c>
      <c r="B6509" t="s">
        <v>66</v>
      </c>
      <c r="C6509" s="2">
        <f>HYPERLINK("https://svao.dolgi.msk.ru/account/1760193049/", 1760193049)</f>
        <v>1760193049</v>
      </c>
      <c r="D6509">
        <v>4462.07</v>
      </c>
    </row>
    <row r="6510" spans="1:4" x14ac:dyDescent="0.25">
      <c r="A6510" t="s">
        <v>622</v>
      </c>
      <c r="B6510" t="s">
        <v>439</v>
      </c>
      <c r="C6510" s="2">
        <f>HYPERLINK("https://svao.dolgi.msk.ru/account/1760193129/", 1760193129)</f>
        <v>1760193129</v>
      </c>
      <c r="D6510">
        <v>7190.99</v>
      </c>
    </row>
    <row r="6511" spans="1:4" x14ac:dyDescent="0.25">
      <c r="A6511" t="s">
        <v>622</v>
      </c>
      <c r="B6511" t="s">
        <v>259</v>
      </c>
      <c r="C6511" s="2">
        <f>HYPERLINK("https://svao.dolgi.msk.ru/account/1760193196/", 1760193196)</f>
        <v>1760193196</v>
      </c>
      <c r="D6511">
        <v>5879.64</v>
      </c>
    </row>
    <row r="6512" spans="1:4" x14ac:dyDescent="0.25">
      <c r="A6512" t="s">
        <v>622</v>
      </c>
      <c r="B6512" t="s">
        <v>69</v>
      </c>
      <c r="C6512" s="2">
        <f>HYPERLINK("https://svao.dolgi.msk.ru/account/1760193217/", 1760193217)</f>
        <v>1760193217</v>
      </c>
      <c r="D6512">
        <v>7020.64</v>
      </c>
    </row>
    <row r="6513" spans="1:4" x14ac:dyDescent="0.25">
      <c r="A6513" t="s">
        <v>622</v>
      </c>
      <c r="B6513" t="s">
        <v>165</v>
      </c>
      <c r="C6513" s="2">
        <f>HYPERLINK("https://svao.dolgi.msk.ru/account/1760193313/", 1760193313)</f>
        <v>1760193313</v>
      </c>
      <c r="D6513">
        <v>863.16</v>
      </c>
    </row>
    <row r="6514" spans="1:4" x14ac:dyDescent="0.25">
      <c r="A6514" t="s">
        <v>622</v>
      </c>
      <c r="B6514" t="s">
        <v>166</v>
      </c>
      <c r="C6514" s="2">
        <f>HYPERLINK("https://svao.dolgi.msk.ru/account/1760193321/", 1760193321)</f>
        <v>1760193321</v>
      </c>
      <c r="D6514">
        <v>9945.74</v>
      </c>
    </row>
    <row r="6515" spans="1:4" x14ac:dyDescent="0.25">
      <c r="A6515" t="s">
        <v>622</v>
      </c>
      <c r="B6515" t="s">
        <v>167</v>
      </c>
      <c r="C6515" s="2">
        <f>HYPERLINK("https://svao.dolgi.msk.ru/account/1760193348/", 1760193348)</f>
        <v>1760193348</v>
      </c>
      <c r="D6515">
        <v>211.07</v>
      </c>
    </row>
    <row r="6516" spans="1:4" x14ac:dyDescent="0.25">
      <c r="A6516" t="s">
        <v>622</v>
      </c>
      <c r="B6516" t="s">
        <v>419</v>
      </c>
      <c r="C6516" s="2">
        <f>HYPERLINK("https://svao.dolgi.msk.ru/account/1760193428/", 1760193428)</f>
        <v>1760193428</v>
      </c>
      <c r="D6516">
        <v>8564.8799999999992</v>
      </c>
    </row>
    <row r="6517" spans="1:4" x14ac:dyDescent="0.25">
      <c r="A6517" t="s">
        <v>622</v>
      </c>
      <c r="B6517" t="s">
        <v>478</v>
      </c>
      <c r="C6517" s="2">
        <f>HYPERLINK("https://svao.dolgi.msk.ru/account/1760193508/", 1760193508)</f>
        <v>1760193508</v>
      </c>
      <c r="D6517">
        <v>5388.49</v>
      </c>
    </row>
    <row r="6518" spans="1:4" x14ac:dyDescent="0.25">
      <c r="A6518" t="s">
        <v>623</v>
      </c>
      <c r="B6518" t="s">
        <v>138</v>
      </c>
      <c r="C6518" s="2">
        <f>HYPERLINK("https://svao.dolgi.msk.ru/account/1760270833/", 1760270833)</f>
        <v>1760270833</v>
      </c>
      <c r="D6518">
        <v>22480.639999999999</v>
      </c>
    </row>
    <row r="6519" spans="1:4" x14ac:dyDescent="0.25">
      <c r="A6519" t="s">
        <v>623</v>
      </c>
      <c r="B6519" t="s">
        <v>6</v>
      </c>
      <c r="C6519" s="2">
        <f>HYPERLINK("https://svao.dolgi.msk.ru/account/1760146955/", 1760146955)</f>
        <v>1760146955</v>
      </c>
      <c r="D6519">
        <v>5545.64</v>
      </c>
    </row>
    <row r="6520" spans="1:4" x14ac:dyDescent="0.25">
      <c r="A6520" t="s">
        <v>623</v>
      </c>
      <c r="B6520" t="s">
        <v>5</v>
      </c>
      <c r="C6520" s="2">
        <f>HYPERLINK("https://svao.dolgi.msk.ru/account/1760146998/", 1760146998)</f>
        <v>1760146998</v>
      </c>
      <c r="D6520">
        <v>2599.11</v>
      </c>
    </row>
    <row r="6521" spans="1:4" x14ac:dyDescent="0.25">
      <c r="A6521" t="s">
        <v>623</v>
      </c>
      <c r="B6521" t="s">
        <v>5</v>
      </c>
      <c r="C6521" s="2">
        <f>HYPERLINK("https://svao.dolgi.msk.ru/account/1760147018/", 1760147018)</f>
        <v>1760147018</v>
      </c>
      <c r="D6521">
        <v>5058.9799999999996</v>
      </c>
    </row>
    <row r="6522" spans="1:4" x14ac:dyDescent="0.25">
      <c r="A6522" t="s">
        <v>623</v>
      </c>
      <c r="B6522" t="s">
        <v>101</v>
      </c>
      <c r="C6522" s="2">
        <f>HYPERLINK("https://svao.dolgi.msk.ru/account/1760147034/", 1760147034)</f>
        <v>1760147034</v>
      </c>
      <c r="D6522">
        <v>4464.91</v>
      </c>
    </row>
    <row r="6523" spans="1:4" x14ac:dyDescent="0.25">
      <c r="A6523" t="s">
        <v>623</v>
      </c>
      <c r="B6523" t="s">
        <v>137</v>
      </c>
      <c r="C6523" s="2">
        <f>HYPERLINK("https://svao.dolgi.msk.ru/account/1760147202/", 1760147202)</f>
        <v>1760147202</v>
      </c>
      <c r="D6523">
        <v>2229.31</v>
      </c>
    </row>
    <row r="6524" spans="1:4" x14ac:dyDescent="0.25">
      <c r="A6524" t="s">
        <v>623</v>
      </c>
      <c r="B6524" t="s">
        <v>75</v>
      </c>
      <c r="C6524" s="2">
        <f>HYPERLINK("https://svao.dolgi.msk.ru/account/1760147245/", 1760147245)</f>
        <v>1760147245</v>
      </c>
      <c r="D6524">
        <v>18493.34</v>
      </c>
    </row>
    <row r="6525" spans="1:4" x14ac:dyDescent="0.25">
      <c r="A6525" t="s">
        <v>623</v>
      </c>
      <c r="B6525" t="s">
        <v>10</v>
      </c>
      <c r="C6525" s="2">
        <f>HYPERLINK("https://svao.dolgi.msk.ru/account/1760147261/", 1760147261)</f>
        <v>1760147261</v>
      </c>
      <c r="D6525">
        <v>33578.14</v>
      </c>
    </row>
    <row r="6526" spans="1:4" x14ac:dyDescent="0.25">
      <c r="A6526" t="s">
        <v>623</v>
      </c>
      <c r="B6526" t="s">
        <v>11</v>
      </c>
      <c r="C6526" s="2">
        <f>HYPERLINK("https://svao.dolgi.msk.ru/account/1760147309/", 1760147309)</f>
        <v>1760147309</v>
      </c>
      <c r="D6526">
        <v>126774.36</v>
      </c>
    </row>
    <row r="6527" spans="1:4" x14ac:dyDescent="0.25">
      <c r="A6527" t="s">
        <v>623</v>
      </c>
      <c r="B6527" t="s">
        <v>107</v>
      </c>
      <c r="C6527" s="2">
        <f>HYPERLINK("https://svao.dolgi.msk.ru/account/1760147384/", 1760147384)</f>
        <v>1760147384</v>
      </c>
      <c r="D6527">
        <v>5155.04</v>
      </c>
    </row>
    <row r="6528" spans="1:4" x14ac:dyDescent="0.25">
      <c r="A6528" t="s">
        <v>623</v>
      </c>
      <c r="B6528" t="s">
        <v>16</v>
      </c>
      <c r="C6528" s="2">
        <f>HYPERLINK("https://svao.dolgi.msk.ru/account/1760147413/", 1760147413)</f>
        <v>1760147413</v>
      </c>
      <c r="D6528">
        <v>4890.97</v>
      </c>
    </row>
    <row r="6529" spans="1:4" x14ac:dyDescent="0.25">
      <c r="A6529" t="s">
        <v>623</v>
      </c>
      <c r="B6529" t="s">
        <v>18</v>
      </c>
      <c r="C6529" s="2">
        <f>HYPERLINK("https://svao.dolgi.msk.ru/account/1760147448/", 1760147448)</f>
        <v>1760147448</v>
      </c>
      <c r="D6529">
        <v>3284.52</v>
      </c>
    </row>
    <row r="6530" spans="1:4" x14ac:dyDescent="0.25">
      <c r="A6530" t="s">
        <v>623</v>
      </c>
      <c r="B6530" t="s">
        <v>92</v>
      </c>
      <c r="C6530" s="2">
        <f>HYPERLINK("https://svao.dolgi.msk.ru/account/1760147528/", 1760147528)</f>
        <v>1760147528</v>
      </c>
      <c r="D6530">
        <v>8208.48</v>
      </c>
    </row>
    <row r="6531" spans="1:4" x14ac:dyDescent="0.25">
      <c r="A6531" t="s">
        <v>623</v>
      </c>
      <c r="B6531" t="s">
        <v>93</v>
      </c>
      <c r="C6531" s="2">
        <f>HYPERLINK("https://svao.dolgi.msk.ru/account/1760147544/", 1760147544)</f>
        <v>1760147544</v>
      </c>
      <c r="D6531">
        <v>1475.88</v>
      </c>
    </row>
    <row r="6532" spans="1:4" x14ac:dyDescent="0.25">
      <c r="A6532" t="s">
        <v>623</v>
      </c>
      <c r="B6532" t="s">
        <v>93</v>
      </c>
      <c r="C6532" s="2">
        <f>HYPERLINK("https://svao.dolgi.msk.ru/account/1760147552/", 1760147552)</f>
        <v>1760147552</v>
      </c>
      <c r="D6532">
        <v>2851.74</v>
      </c>
    </row>
    <row r="6533" spans="1:4" x14ac:dyDescent="0.25">
      <c r="A6533" t="s">
        <v>623</v>
      </c>
      <c r="B6533" t="s">
        <v>111</v>
      </c>
      <c r="C6533" s="2">
        <f>HYPERLINK("https://svao.dolgi.msk.ru/account/1760147579/", 1760147579)</f>
        <v>1760147579</v>
      </c>
      <c r="D6533">
        <v>4566.62</v>
      </c>
    </row>
    <row r="6534" spans="1:4" x14ac:dyDescent="0.25">
      <c r="A6534" t="s">
        <v>623</v>
      </c>
      <c r="B6534" t="s">
        <v>94</v>
      </c>
      <c r="C6534" s="2">
        <f>HYPERLINK("https://svao.dolgi.msk.ru/account/1760147587/", 1760147587)</f>
        <v>1760147587</v>
      </c>
      <c r="D6534">
        <v>14130.45</v>
      </c>
    </row>
    <row r="6535" spans="1:4" x14ac:dyDescent="0.25">
      <c r="A6535" t="s">
        <v>623</v>
      </c>
      <c r="B6535" t="s">
        <v>23</v>
      </c>
      <c r="C6535" s="2">
        <f>HYPERLINK("https://svao.dolgi.msk.ru/account/1760147691/", 1760147691)</f>
        <v>1760147691</v>
      </c>
      <c r="D6535">
        <v>38615.360000000001</v>
      </c>
    </row>
    <row r="6536" spans="1:4" x14ac:dyDescent="0.25">
      <c r="A6536" t="s">
        <v>623</v>
      </c>
      <c r="B6536" t="s">
        <v>131</v>
      </c>
      <c r="C6536" s="2">
        <f>HYPERLINK("https://svao.dolgi.msk.ru/account/1760147827/", 1760147827)</f>
        <v>1760147827</v>
      </c>
      <c r="D6536">
        <v>19881.560000000001</v>
      </c>
    </row>
    <row r="6537" spans="1:4" x14ac:dyDescent="0.25">
      <c r="A6537" t="s">
        <v>623</v>
      </c>
      <c r="B6537" t="s">
        <v>131</v>
      </c>
      <c r="C6537" s="2">
        <f>HYPERLINK("https://svao.dolgi.msk.ru/account/1760265671/", 1760265671)</f>
        <v>1760265671</v>
      </c>
      <c r="D6537">
        <v>109113.31</v>
      </c>
    </row>
    <row r="6538" spans="1:4" x14ac:dyDescent="0.25">
      <c r="A6538" t="s">
        <v>623</v>
      </c>
      <c r="B6538" t="s">
        <v>125</v>
      </c>
      <c r="C6538" s="2">
        <f>HYPERLINK("https://svao.dolgi.msk.ru/account/1760147894/", 1760147894)</f>
        <v>1760147894</v>
      </c>
      <c r="D6538">
        <v>9022.67</v>
      </c>
    </row>
    <row r="6539" spans="1:4" x14ac:dyDescent="0.25">
      <c r="A6539" t="s">
        <v>623</v>
      </c>
      <c r="B6539" t="s">
        <v>126</v>
      </c>
      <c r="C6539" s="2">
        <f>HYPERLINK("https://svao.dolgi.msk.ru/account/1760147835/", 1760147835)</f>
        <v>1760147835</v>
      </c>
      <c r="D6539">
        <v>2124.65</v>
      </c>
    </row>
    <row r="6540" spans="1:4" x14ac:dyDescent="0.25">
      <c r="A6540" t="s">
        <v>623</v>
      </c>
      <c r="B6540" t="s">
        <v>126</v>
      </c>
      <c r="C6540" s="2">
        <f>HYPERLINK("https://svao.dolgi.msk.ru/account/1760147843/", 1760147843)</f>
        <v>1760147843</v>
      </c>
      <c r="D6540">
        <v>7654.65</v>
      </c>
    </row>
    <row r="6541" spans="1:4" x14ac:dyDescent="0.25">
      <c r="A6541" t="s">
        <v>623</v>
      </c>
      <c r="B6541" t="s">
        <v>126</v>
      </c>
      <c r="C6541" s="2">
        <f>HYPERLINK("https://svao.dolgi.msk.ru/account/1760147851/", 1760147851)</f>
        <v>1760147851</v>
      </c>
      <c r="D6541">
        <v>2953.45</v>
      </c>
    </row>
    <row r="6542" spans="1:4" x14ac:dyDescent="0.25">
      <c r="A6542" t="s">
        <v>623</v>
      </c>
      <c r="B6542" t="s">
        <v>118</v>
      </c>
      <c r="C6542" s="2">
        <f>HYPERLINK("https://svao.dolgi.msk.ru/account/1760147886/", 1760147886)</f>
        <v>1760147886</v>
      </c>
      <c r="D6542">
        <v>3215.08</v>
      </c>
    </row>
    <row r="6543" spans="1:4" x14ac:dyDescent="0.25">
      <c r="A6543" t="s">
        <v>624</v>
      </c>
      <c r="B6543" t="s">
        <v>7</v>
      </c>
      <c r="C6543" s="2">
        <f>HYPERLINK("https://svao.dolgi.msk.ru/account/1760147931/", 1760147931)</f>
        <v>1760147931</v>
      </c>
      <c r="D6543">
        <v>2463.81</v>
      </c>
    </row>
    <row r="6544" spans="1:4" x14ac:dyDescent="0.25">
      <c r="A6544" t="s">
        <v>624</v>
      </c>
      <c r="B6544" t="s">
        <v>12</v>
      </c>
      <c r="C6544" s="2">
        <f>HYPERLINK("https://svao.dolgi.msk.ru/account/1760148133/", 1760148133)</f>
        <v>1760148133</v>
      </c>
      <c r="D6544">
        <v>15385.92</v>
      </c>
    </row>
    <row r="6545" spans="1:4" x14ac:dyDescent="0.25">
      <c r="A6545" t="s">
        <v>624</v>
      </c>
      <c r="B6545" t="s">
        <v>106</v>
      </c>
      <c r="C6545" s="2">
        <f>HYPERLINK("https://svao.dolgi.msk.ru/account/1760148176/", 1760148176)</f>
        <v>1760148176</v>
      </c>
      <c r="D6545">
        <v>6523.21</v>
      </c>
    </row>
    <row r="6546" spans="1:4" x14ac:dyDescent="0.25">
      <c r="A6546" t="s">
        <v>624</v>
      </c>
      <c r="B6546" t="s">
        <v>15</v>
      </c>
      <c r="C6546" s="2">
        <f>HYPERLINK("https://svao.dolgi.msk.ru/account/1760148192/", 1760148192)</f>
        <v>1760148192</v>
      </c>
      <c r="D6546">
        <v>5466.34</v>
      </c>
    </row>
    <row r="6547" spans="1:4" x14ac:dyDescent="0.25">
      <c r="A6547" t="s">
        <v>624</v>
      </c>
      <c r="B6547" t="s">
        <v>108</v>
      </c>
      <c r="C6547" s="2">
        <f>HYPERLINK("https://svao.dolgi.msk.ru/account/1760148205/", 1760148205)</f>
        <v>1760148205</v>
      </c>
      <c r="D6547">
        <v>32524.14</v>
      </c>
    </row>
    <row r="6548" spans="1:4" x14ac:dyDescent="0.25">
      <c r="A6548" t="s">
        <v>624</v>
      </c>
      <c r="B6548" t="s">
        <v>17</v>
      </c>
      <c r="C6548" s="2">
        <f>HYPERLINK("https://svao.dolgi.msk.ru/account/1760148221/", 1760148221)</f>
        <v>1760148221</v>
      </c>
      <c r="D6548">
        <v>4931.8999999999996</v>
      </c>
    </row>
    <row r="6549" spans="1:4" x14ac:dyDescent="0.25">
      <c r="A6549" t="s">
        <v>624</v>
      </c>
      <c r="B6549" t="s">
        <v>110</v>
      </c>
      <c r="C6549" s="2">
        <f>HYPERLINK("https://svao.dolgi.msk.ru/account/1760148272/", 1760148272)</f>
        <v>1760148272</v>
      </c>
      <c r="D6549">
        <v>4192.92</v>
      </c>
    </row>
    <row r="6550" spans="1:4" x14ac:dyDescent="0.25">
      <c r="A6550" t="s">
        <v>624</v>
      </c>
      <c r="B6550" t="s">
        <v>76</v>
      </c>
      <c r="C6550" s="2">
        <f>HYPERLINK("https://svao.dolgi.msk.ru/account/1760148301/", 1760148301)</f>
        <v>1760148301</v>
      </c>
      <c r="D6550">
        <v>4245.51</v>
      </c>
    </row>
    <row r="6551" spans="1:4" x14ac:dyDescent="0.25">
      <c r="A6551" t="s">
        <v>624</v>
      </c>
      <c r="B6551" t="s">
        <v>92</v>
      </c>
      <c r="C6551" s="2">
        <f>HYPERLINK("https://svao.dolgi.msk.ru/account/1760148328/", 1760148328)</f>
        <v>1760148328</v>
      </c>
      <c r="D6551">
        <v>4977.16</v>
      </c>
    </row>
    <row r="6552" spans="1:4" x14ac:dyDescent="0.25">
      <c r="A6552" t="s">
        <v>624</v>
      </c>
      <c r="B6552" t="s">
        <v>111</v>
      </c>
      <c r="C6552" s="2">
        <f>HYPERLINK("https://svao.dolgi.msk.ru/account/1760148344/", 1760148344)</f>
        <v>1760148344</v>
      </c>
      <c r="D6552">
        <v>7017.56</v>
      </c>
    </row>
    <row r="6553" spans="1:4" x14ac:dyDescent="0.25">
      <c r="A6553" t="s">
        <v>624</v>
      </c>
      <c r="B6553" t="s">
        <v>112</v>
      </c>
      <c r="C6553" s="2">
        <f>HYPERLINK("https://svao.dolgi.msk.ru/account/1760148379/", 1760148379)</f>
        <v>1760148379</v>
      </c>
      <c r="D6553">
        <v>5729</v>
      </c>
    </row>
    <row r="6554" spans="1:4" x14ac:dyDescent="0.25">
      <c r="A6554" t="s">
        <v>624</v>
      </c>
      <c r="B6554" t="s">
        <v>113</v>
      </c>
      <c r="C6554" s="2">
        <f>HYPERLINK("https://svao.dolgi.msk.ru/account/1760148387/", 1760148387)</f>
        <v>1760148387</v>
      </c>
      <c r="D6554">
        <v>11596.77</v>
      </c>
    </row>
    <row r="6555" spans="1:4" x14ac:dyDescent="0.25">
      <c r="A6555" t="s">
        <v>624</v>
      </c>
      <c r="B6555" t="s">
        <v>78</v>
      </c>
      <c r="C6555" s="2">
        <f>HYPERLINK("https://svao.dolgi.msk.ru/account/1760148424/", 1760148424)</f>
        <v>1760148424</v>
      </c>
      <c r="D6555">
        <v>4769.6400000000003</v>
      </c>
    </row>
    <row r="6556" spans="1:4" x14ac:dyDescent="0.25">
      <c r="A6556" t="s">
        <v>624</v>
      </c>
      <c r="B6556" t="s">
        <v>79</v>
      </c>
      <c r="C6556" s="2">
        <f>HYPERLINK("https://svao.dolgi.msk.ru/account/1760148459/", 1760148459)</f>
        <v>1760148459</v>
      </c>
      <c r="D6556">
        <v>4886.42</v>
      </c>
    </row>
    <row r="6557" spans="1:4" x14ac:dyDescent="0.25">
      <c r="A6557" t="s">
        <v>624</v>
      </c>
      <c r="B6557" t="s">
        <v>23</v>
      </c>
      <c r="C6557" s="2">
        <f>HYPERLINK("https://svao.dolgi.msk.ru/account/1760148467/", 1760148467)</f>
        <v>1760148467</v>
      </c>
      <c r="D6557">
        <v>6141.27</v>
      </c>
    </row>
    <row r="6558" spans="1:4" x14ac:dyDescent="0.25">
      <c r="A6558" t="s">
        <v>624</v>
      </c>
      <c r="B6558" t="s">
        <v>124</v>
      </c>
      <c r="C6558" s="2">
        <f>HYPERLINK("https://svao.dolgi.msk.ru/account/1760148475/", 1760148475)</f>
        <v>1760148475</v>
      </c>
      <c r="D6558">
        <v>26313.01</v>
      </c>
    </row>
    <row r="6559" spans="1:4" x14ac:dyDescent="0.25">
      <c r="A6559" t="s">
        <v>624</v>
      </c>
      <c r="B6559" t="s">
        <v>117</v>
      </c>
      <c r="C6559" s="2">
        <f>HYPERLINK("https://svao.dolgi.msk.ru/account/1760148483/", 1760148483)</f>
        <v>1760148483</v>
      </c>
      <c r="D6559">
        <v>5201.33</v>
      </c>
    </row>
    <row r="6560" spans="1:4" x14ac:dyDescent="0.25">
      <c r="A6560" t="s">
        <v>624</v>
      </c>
      <c r="B6560" t="s">
        <v>320</v>
      </c>
      <c r="C6560" s="2">
        <f>HYPERLINK("https://svao.dolgi.msk.ru/account/1760148504/", 1760148504)</f>
        <v>1760148504</v>
      </c>
      <c r="D6560">
        <v>4843.75</v>
      </c>
    </row>
    <row r="6561" spans="1:4" x14ac:dyDescent="0.25">
      <c r="A6561" t="s">
        <v>624</v>
      </c>
      <c r="B6561" t="s">
        <v>24</v>
      </c>
      <c r="C6561" s="2">
        <f>HYPERLINK("https://svao.dolgi.msk.ru/account/1760148512/", 1760148512)</f>
        <v>1760148512</v>
      </c>
      <c r="D6561">
        <v>2417.09</v>
      </c>
    </row>
    <row r="6562" spans="1:4" x14ac:dyDescent="0.25">
      <c r="A6562" t="s">
        <v>624</v>
      </c>
      <c r="B6562" t="s">
        <v>125</v>
      </c>
      <c r="C6562" s="2">
        <f>HYPERLINK("https://svao.dolgi.msk.ru/account/1760148571/", 1760148571)</f>
        <v>1760148571</v>
      </c>
      <c r="D6562">
        <v>3819.27</v>
      </c>
    </row>
    <row r="6563" spans="1:4" x14ac:dyDescent="0.25">
      <c r="A6563" t="s">
        <v>624</v>
      </c>
      <c r="B6563" t="s">
        <v>127</v>
      </c>
      <c r="C6563" s="2">
        <f>HYPERLINK("https://svao.dolgi.msk.ru/account/1760148635/", 1760148635)</f>
        <v>1760148635</v>
      </c>
      <c r="D6563">
        <v>4139.3999999999996</v>
      </c>
    </row>
    <row r="6564" spans="1:4" x14ac:dyDescent="0.25">
      <c r="A6564" t="s">
        <v>624</v>
      </c>
      <c r="B6564" t="s">
        <v>81</v>
      </c>
      <c r="C6564" s="2">
        <f>HYPERLINK("https://svao.dolgi.msk.ru/account/1760148643/", 1760148643)</f>
        <v>1760148643</v>
      </c>
      <c r="D6564">
        <v>7864.21</v>
      </c>
    </row>
    <row r="6565" spans="1:4" x14ac:dyDescent="0.25">
      <c r="A6565" t="s">
        <v>624</v>
      </c>
      <c r="B6565" t="s">
        <v>120</v>
      </c>
      <c r="C6565" s="2">
        <f>HYPERLINK("https://svao.dolgi.msk.ru/account/1760148678/", 1760148678)</f>
        <v>1760148678</v>
      </c>
      <c r="D6565">
        <v>2658.07</v>
      </c>
    </row>
    <row r="6566" spans="1:4" x14ac:dyDescent="0.25">
      <c r="A6566" t="s">
        <v>624</v>
      </c>
      <c r="B6566" t="s">
        <v>128</v>
      </c>
      <c r="C6566" s="2">
        <f>HYPERLINK("https://svao.dolgi.msk.ru/account/1760148694/", 1760148694)</f>
        <v>1760148694</v>
      </c>
      <c r="D6566">
        <v>6567.69</v>
      </c>
    </row>
    <row r="6567" spans="1:4" x14ac:dyDescent="0.25">
      <c r="A6567" t="s">
        <v>624</v>
      </c>
      <c r="B6567" t="s">
        <v>132</v>
      </c>
      <c r="C6567" s="2">
        <f>HYPERLINK("https://svao.dolgi.msk.ru/account/1760148723/", 1760148723)</f>
        <v>1760148723</v>
      </c>
      <c r="D6567">
        <v>4105.18</v>
      </c>
    </row>
    <row r="6568" spans="1:4" x14ac:dyDescent="0.25">
      <c r="A6568" t="s">
        <v>624</v>
      </c>
      <c r="B6568" t="s">
        <v>27</v>
      </c>
      <c r="C6568" s="2">
        <f>HYPERLINK("https://svao.dolgi.msk.ru/account/1760148774/", 1760148774)</f>
        <v>1760148774</v>
      </c>
      <c r="D6568">
        <v>5123.0200000000004</v>
      </c>
    </row>
    <row r="6569" spans="1:4" x14ac:dyDescent="0.25">
      <c r="A6569" t="s">
        <v>624</v>
      </c>
      <c r="B6569" t="s">
        <v>121</v>
      </c>
      <c r="C6569" s="2">
        <f>HYPERLINK("https://svao.dolgi.msk.ru/account/1760148811/", 1760148811)</f>
        <v>1760148811</v>
      </c>
      <c r="D6569">
        <v>4851.99</v>
      </c>
    </row>
    <row r="6570" spans="1:4" x14ac:dyDescent="0.25">
      <c r="A6570" t="s">
        <v>625</v>
      </c>
      <c r="B6570" t="s">
        <v>5</v>
      </c>
      <c r="C6570" s="2">
        <f>HYPERLINK("https://svao.dolgi.msk.ru/account/1760148926/", 1760148926)</f>
        <v>1760148926</v>
      </c>
      <c r="D6570">
        <v>404</v>
      </c>
    </row>
    <row r="6571" spans="1:4" x14ac:dyDescent="0.25">
      <c r="A6571" t="s">
        <v>625</v>
      </c>
      <c r="B6571" t="s">
        <v>7</v>
      </c>
      <c r="C6571" s="2">
        <f>HYPERLINK("https://svao.dolgi.msk.ru/account/1760148934/", 1760148934)</f>
        <v>1760148934</v>
      </c>
      <c r="D6571">
        <v>3277.42</v>
      </c>
    </row>
    <row r="6572" spans="1:4" x14ac:dyDescent="0.25">
      <c r="A6572" t="s">
        <v>625</v>
      </c>
      <c r="B6572" t="s">
        <v>101</v>
      </c>
      <c r="C6572" s="2">
        <f>HYPERLINK("https://svao.dolgi.msk.ru/account/1760148942/", 1760148942)</f>
        <v>1760148942</v>
      </c>
      <c r="D6572">
        <v>1422.86</v>
      </c>
    </row>
    <row r="6573" spans="1:4" x14ac:dyDescent="0.25">
      <c r="A6573" t="s">
        <v>625</v>
      </c>
      <c r="B6573" t="s">
        <v>141</v>
      </c>
      <c r="C6573" s="2">
        <f>HYPERLINK("https://svao.dolgi.msk.ru/account/1760148969/", 1760148969)</f>
        <v>1760148969</v>
      </c>
      <c r="D6573">
        <v>2340.35</v>
      </c>
    </row>
    <row r="6574" spans="1:4" x14ac:dyDescent="0.25">
      <c r="A6574" t="s">
        <v>625</v>
      </c>
      <c r="B6574" t="s">
        <v>104</v>
      </c>
      <c r="C6574" s="2">
        <f>HYPERLINK("https://svao.dolgi.msk.ru/account/1760149005/", 1760149005)</f>
        <v>1760149005</v>
      </c>
      <c r="D6574">
        <v>4745.25</v>
      </c>
    </row>
    <row r="6575" spans="1:4" x14ac:dyDescent="0.25">
      <c r="A6575" t="s">
        <v>625</v>
      </c>
      <c r="B6575" t="s">
        <v>11</v>
      </c>
      <c r="C6575" s="2">
        <f>HYPERLINK("https://svao.dolgi.msk.ru/account/1760149128/", 1760149128)</f>
        <v>1760149128</v>
      </c>
      <c r="D6575">
        <v>5219.99</v>
      </c>
    </row>
    <row r="6576" spans="1:4" x14ac:dyDescent="0.25">
      <c r="A6576" t="s">
        <v>625</v>
      </c>
      <c r="B6576" t="s">
        <v>108</v>
      </c>
      <c r="C6576" s="2">
        <f>HYPERLINK("https://svao.dolgi.msk.ru/account/1760149208/", 1760149208)</f>
        <v>1760149208</v>
      </c>
      <c r="D6576">
        <v>27181.02</v>
      </c>
    </row>
    <row r="6577" spans="1:4" x14ac:dyDescent="0.25">
      <c r="A6577" t="s">
        <v>625</v>
      </c>
      <c r="B6577" t="s">
        <v>110</v>
      </c>
      <c r="C6577" s="2">
        <f>HYPERLINK("https://svao.dolgi.msk.ru/account/1760149275/", 1760149275)</f>
        <v>1760149275</v>
      </c>
      <c r="D6577">
        <v>6672.81</v>
      </c>
    </row>
    <row r="6578" spans="1:4" x14ac:dyDescent="0.25">
      <c r="A6578" t="s">
        <v>625</v>
      </c>
      <c r="B6578" t="s">
        <v>92</v>
      </c>
      <c r="C6578" s="2">
        <f>HYPERLINK("https://svao.dolgi.msk.ru/account/1760149304/", 1760149304)</f>
        <v>1760149304</v>
      </c>
      <c r="D6578">
        <v>2668.21</v>
      </c>
    </row>
    <row r="6579" spans="1:4" x14ac:dyDescent="0.25">
      <c r="A6579" t="s">
        <v>625</v>
      </c>
      <c r="B6579" t="s">
        <v>93</v>
      </c>
      <c r="C6579" s="2">
        <f>HYPERLINK("https://svao.dolgi.msk.ru/account/1760149312/", 1760149312)</f>
        <v>1760149312</v>
      </c>
      <c r="D6579">
        <v>2745.78</v>
      </c>
    </row>
    <row r="6580" spans="1:4" x14ac:dyDescent="0.25">
      <c r="A6580" t="s">
        <v>625</v>
      </c>
      <c r="B6580" t="s">
        <v>94</v>
      </c>
      <c r="C6580" s="2">
        <f>HYPERLINK("https://svao.dolgi.msk.ru/account/1760149347/", 1760149347)</f>
        <v>1760149347</v>
      </c>
      <c r="D6580">
        <v>4313.43</v>
      </c>
    </row>
    <row r="6581" spans="1:4" x14ac:dyDescent="0.25">
      <c r="A6581" t="s">
        <v>625</v>
      </c>
      <c r="B6581" t="s">
        <v>112</v>
      </c>
      <c r="C6581" s="2">
        <f>HYPERLINK("https://svao.dolgi.msk.ru/account/1760149355/", 1760149355)</f>
        <v>1760149355</v>
      </c>
      <c r="D6581">
        <v>434.12</v>
      </c>
    </row>
    <row r="6582" spans="1:4" x14ac:dyDescent="0.25">
      <c r="A6582" t="s">
        <v>625</v>
      </c>
      <c r="B6582" t="s">
        <v>21</v>
      </c>
      <c r="C6582" s="2">
        <f>HYPERLINK("https://svao.dolgi.msk.ru/account/1760149371/", 1760149371)</f>
        <v>1760149371</v>
      </c>
      <c r="D6582">
        <v>3831.56</v>
      </c>
    </row>
    <row r="6583" spans="1:4" x14ac:dyDescent="0.25">
      <c r="A6583" t="s">
        <v>625</v>
      </c>
      <c r="B6583" t="s">
        <v>124</v>
      </c>
      <c r="C6583" s="2">
        <f>HYPERLINK("https://svao.dolgi.msk.ru/account/1760149486/", 1760149486)</f>
        <v>1760149486</v>
      </c>
      <c r="D6583">
        <v>2383.4499999999998</v>
      </c>
    </row>
    <row r="6584" spans="1:4" x14ac:dyDescent="0.25">
      <c r="A6584" t="s">
        <v>625</v>
      </c>
      <c r="B6584" t="s">
        <v>117</v>
      </c>
      <c r="C6584" s="2">
        <f>HYPERLINK("https://svao.dolgi.msk.ru/account/1760149494/", 1760149494)</f>
        <v>1760149494</v>
      </c>
      <c r="D6584">
        <v>3825.29</v>
      </c>
    </row>
    <row r="6585" spans="1:4" x14ac:dyDescent="0.25">
      <c r="A6585" t="s">
        <v>625</v>
      </c>
      <c r="B6585" t="s">
        <v>115</v>
      </c>
      <c r="C6585" s="2">
        <f>HYPERLINK("https://svao.dolgi.msk.ru/account/1760149507/", 1760149507)</f>
        <v>1760149507</v>
      </c>
      <c r="D6585">
        <v>5642.45</v>
      </c>
    </row>
    <row r="6586" spans="1:4" x14ac:dyDescent="0.25">
      <c r="A6586" t="s">
        <v>625</v>
      </c>
      <c r="B6586" t="s">
        <v>314</v>
      </c>
      <c r="C6586" s="2">
        <f>HYPERLINK("https://svao.dolgi.msk.ru/account/1760149531/", 1760149531)</f>
        <v>1760149531</v>
      </c>
      <c r="D6586">
        <v>117528.53</v>
      </c>
    </row>
    <row r="6587" spans="1:4" x14ac:dyDescent="0.25">
      <c r="A6587" t="s">
        <v>625</v>
      </c>
      <c r="B6587" t="s">
        <v>242</v>
      </c>
      <c r="C6587" s="2">
        <f>HYPERLINK("https://svao.dolgi.msk.ru/account/1760149558/", 1760149558)</f>
        <v>1760149558</v>
      </c>
      <c r="D6587">
        <v>10813.57</v>
      </c>
    </row>
    <row r="6588" spans="1:4" x14ac:dyDescent="0.25">
      <c r="A6588" t="s">
        <v>625</v>
      </c>
      <c r="B6588" t="s">
        <v>131</v>
      </c>
      <c r="C6588" s="2">
        <f>HYPERLINK("https://svao.dolgi.msk.ru/account/1760149574/", 1760149574)</f>
        <v>1760149574</v>
      </c>
      <c r="D6588">
        <v>6717.26</v>
      </c>
    </row>
    <row r="6589" spans="1:4" x14ac:dyDescent="0.25">
      <c r="A6589" t="s">
        <v>625</v>
      </c>
      <c r="B6589" t="s">
        <v>82</v>
      </c>
      <c r="C6589" s="2">
        <f>HYPERLINK("https://svao.dolgi.msk.ru/account/1760149697/", 1760149697)</f>
        <v>1760149697</v>
      </c>
      <c r="D6589">
        <v>479.85</v>
      </c>
    </row>
    <row r="6590" spans="1:4" x14ac:dyDescent="0.25">
      <c r="A6590" t="s">
        <v>625</v>
      </c>
      <c r="B6590" t="s">
        <v>96</v>
      </c>
      <c r="C6590" s="2">
        <f>HYPERLINK("https://svao.dolgi.msk.ru/account/1760149785/", 1760149785)</f>
        <v>1760149785</v>
      </c>
      <c r="D6590">
        <v>3266.64</v>
      </c>
    </row>
    <row r="6591" spans="1:4" x14ac:dyDescent="0.25">
      <c r="A6591" t="s">
        <v>625</v>
      </c>
      <c r="B6591" t="s">
        <v>121</v>
      </c>
      <c r="C6591" s="2">
        <f>HYPERLINK("https://svao.dolgi.msk.ru/account/1760149822/", 1760149822)</f>
        <v>1760149822</v>
      </c>
      <c r="D6591">
        <v>2350.54</v>
      </c>
    </row>
    <row r="6592" spans="1:4" x14ac:dyDescent="0.25">
      <c r="A6592" t="s">
        <v>625</v>
      </c>
      <c r="B6592" t="s">
        <v>139</v>
      </c>
      <c r="C6592" s="2">
        <f>HYPERLINK("https://svao.dolgi.msk.ru/account/1760149857/", 1760149857)</f>
        <v>1760149857</v>
      </c>
      <c r="D6592">
        <v>929.29</v>
      </c>
    </row>
    <row r="6593" spans="1:4" x14ac:dyDescent="0.25">
      <c r="A6593" t="s">
        <v>626</v>
      </c>
      <c r="B6593" t="s">
        <v>41</v>
      </c>
      <c r="C6593" s="2">
        <f>HYPERLINK("https://svao.dolgi.msk.ru/account/1760149902/", 1760149902)</f>
        <v>1760149902</v>
      </c>
      <c r="D6593">
        <v>4248.8999999999996</v>
      </c>
    </row>
    <row r="6594" spans="1:4" x14ac:dyDescent="0.25">
      <c r="A6594" t="s">
        <v>626</v>
      </c>
      <c r="B6594" t="s">
        <v>7</v>
      </c>
      <c r="C6594" s="2">
        <f>HYPERLINK("https://svao.dolgi.msk.ru/account/1760149937/", 1760149937)</f>
        <v>1760149937</v>
      </c>
      <c r="D6594">
        <v>449.75</v>
      </c>
    </row>
    <row r="6595" spans="1:4" x14ac:dyDescent="0.25">
      <c r="A6595" t="s">
        <v>626</v>
      </c>
      <c r="B6595" t="s">
        <v>141</v>
      </c>
      <c r="C6595" s="2">
        <f>HYPERLINK("https://svao.dolgi.msk.ru/account/1760149953/", 1760149953)</f>
        <v>1760149953</v>
      </c>
      <c r="D6595">
        <v>4036.05</v>
      </c>
    </row>
    <row r="6596" spans="1:4" x14ac:dyDescent="0.25">
      <c r="A6596" t="s">
        <v>626</v>
      </c>
      <c r="B6596" t="s">
        <v>104</v>
      </c>
      <c r="C6596" s="2">
        <f>HYPERLINK("https://svao.dolgi.msk.ru/account/1760150006/", 1760150006)</f>
        <v>1760150006</v>
      </c>
      <c r="D6596">
        <v>27111.97</v>
      </c>
    </row>
    <row r="6597" spans="1:4" x14ac:dyDescent="0.25">
      <c r="A6597" t="s">
        <v>626</v>
      </c>
      <c r="B6597" t="s">
        <v>12</v>
      </c>
      <c r="C6597" s="2">
        <f>HYPERLINK("https://svao.dolgi.msk.ru/account/1760150137/", 1760150137)</f>
        <v>1760150137</v>
      </c>
      <c r="D6597">
        <v>3980.67</v>
      </c>
    </row>
    <row r="6598" spans="1:4" x14ac:dyDescent="0.25">
      <c r="A6598" t="s">
        <v>626</v>
      </c>
      <c r="B6598" t="s">
        <v>13</v>
      </c>
      <c r="C6598" s="2">
        <f>HYPERLINK("https://svao.dolgi.msk.ru/account/1760150145/", 1760150145)</f>
        <v>1760150145</v>
      </c>
      <c r="D6598">
        <v>3648.97</v>
      </c>
    </row>
    <row r="6599" spans="1:4" x14ac:dyDescent="0.25">
      <c r="A6599" t="s">
        <v>626</v>
      </c>
      <c r="B6599" t="s">
        <v>15</v>
      </c>
      <c r="C6599" s="2">
        <f>HYPERLINK("https://svao.dolgi.msk.ru/account/1760150196/", 1760150196)</f>
        <v>1760150196</v>
      </c>
      <c r="D6599">
        <v>2276.52</v>
      </c>
    </row>
    <row r="6600" spans="1:4" x14ac:dyDescent="0.25">
      <c r="A6600" t="s">
        <v>626</v>
      </c>
      <c r="B6600" t="s">
        <v>108</v>
      </c>
      <c r="C6600" s="2">
        <f>HYPERLINK("https://svao.dolgi.msk.ru/account/1760150209/", 1760150209)</f>
        <v>1760150209</v>
      </c>
      <c r="D6600">
        <v>44493.279999999999</v>
      </c>
    </row>
    <row r="6601" spans="1:4" x14ac:dyDescent="0.25">
      <c r="A6601" t="s">
        <v>626</v>
      </c>
      <c r="B6601" t="s">
        <v>16</v>
      </c>
      <c r="C6601" s="2">
        <f>HYPERLINK("https://svao.dolgi.msk.ru/account/1760150217/", 1760150217)</f>
        <v>1760150217</v>
      </c>
      <c r="D6601">
        <v>2826.21</v>
      </c>
    </row>
    <row r="6602" spans="1:4" x14ac:dyDescent="0.25">
      <c r="A6602" t="s">
        <v>626</v>
      </c>
      <c r="B6602" t="s">
        <v>109</v>
      </c>
      <c r="C6602" s="2">
        <f>HYPERLINK("https://svao.dolgi.msk.ru/account/1760150268/", 1760150268)</f>
        <v>1760150268</v>
      </c>
      <c r="D6602">
        <v>989.62</v>
      </c>
    </row>
    <row r="6603" spans="1:4" x14ac:dyDescent="0.25">
      <c r="A6603" t="s">
        <v>626</v>
      </c>
      <c r="B6603" t="s">
        <v>92</v>
      </c>
      <c r="C6603" s="2">
        <f>HYPERLINK("https://svao.dolgi.msk.ru/account/1760150305/", 1760150305)</f>
        <v>1760150305</v>
      </c>
      <c r="D6603">
        <v>3163.56</v>
      </c>
    </row>
    <row r="6604" spans="1:4" x14ac:dyDescent="0.25">
      <c r="A6604" t="s">
        <v>626</v>
      </c>
      <c r="B6604" t="s">
        <v>111</v>
      </c>
      <c r="C6604" s="2">
        <f>HYPERLINK("https://svao.dolgi.msk.ru/account/1760150321/", 1760150321)</f>
        <v>1760150321</v>
      </c>
      <c r="D6604">
        <v>1706.08</v>
      </c>
    </row>
    <row r="6605" spans="1:4" x14ac:dyDescent="0.25">
      <c r="A6605" t="s">
        <v>626</v>
      </c>
      <c r="B6605" t="s">
        <v>115</v>
      </c>
      <c r="C6605" s="2">
        <f>HYPERLINK("https://svao.dolgi.msk.ru/account/1760150495/", 1760150495)</f>
        <v>1760150495</v>
      </c>
      <c r="D6605">
        <v>76730.75</v>
      </c>
    </row>
    <row r="6606" spans="1:4" x14ac:dyDescent="0.25">
      <c r="A6606" t="s">
        <v>626</v>
      </c>
      <c r="B6606" t="s">
        <v>24</v>
      </c>
      <c r="C6606" s="2">
        <f>HYPERLINK("https://svao.dolgi.msk.ru/account/1760150516/", 1760150516)</f>
        <v>1760150516</v>
      </c>
      <c r="D6606">
        <v>3914.76</v>
      </c>
    </row>
    <row r="6607" spans="1:4" x14ac:dyDescent="0.25">
      <c r="A6607" t="s">
        <v>626</v>
      </c>
      <c r="B6607" t="s">
        <v>242</v>
      </c>
      <c r="C6607" s="2">
        <f>HYPERLINK("https://svao.dolgi.msk.ru/account/1760150532/", 1760150532)</f>
        <v>1760150532</v>
      </c>
      <c r="D6607">
        <v>4758.92</v>
      </c>
    </row>
    <row r="6608" spans="1:4" x14ac:dyDescent="0.25">
      <c r="A6608" t="s">
        <v>626</v>
      </c>
      <c r="B6608" t="s">
        <v>95</v>
      </c>
      <c r="C6608" s="2">
        <f>HYPERLINK("https://svao.dolgi.msk.ru/account/1760150559/", 1760150559)</f>
        <v>1760150559</v>
      </c>
      <c r="D6608">
        <v>5943.98</v>
      </c>
    </row>
    <row r="6609" spans="1:4" x14ac:dyDescent="0.25">
      <c r="A6609" t="s">
        <v>626</v>
      </c>
      <c r="B6609" t="s">
        <v>131</v>
      </c>
      <c r="C6609" s="2">
        <f>HYPERLINK("https://svao.dolgi.msk.ru/account/1760150567/", 1760150567)</f>
        <v>1760150567</v>
      </c>
      <c r="D6609">
        <v>2856.3</v>
      </c>
    </row>
    <row r="6610" spans="1:4" x14ac:dyDescent="0.25">
      <c r="A6610" t="s">
        <v>626</v>
      </c>
      <c r="B6610" t="s">
        <v>126</v>
      </c>
      <c r="C6610" s="2">
        <f>HYPERLINK("https://svao.dolgi.msk.ru/account/1760150583/", 1760150583)</f>
        <v>1760150583</v>
      </c>
      <c r="D6610">
        <v>7245.13</v>
      </c>
    </row>
    <row r="6611" spans="1:4" x14ac:dyDescent="0.25">
      <c r="A6611" t="s">
        <v>626</v>
      </c>
      <c r="B6611" t="s">
        <v>81</v>
      </c>
      <c r="C6611" s="2">
        <f>HYPERLINK("https://svao.dolgi.msk.ru/account/1760150639/", 1760150639)</f>
        <v>1760150639</v>
      </c>
      <c r="D6611">
        <v>3156.92</v>
      </c>
    </row>
    <row r="6612" spans="1:4" x14ac:dyDescent="0.25">
      <c r="A6612" t="s">
        <v>626</v>
      </c>
      <c r="B6612" t="s">
        <v>83</v>
      </c>
      <c r="C6612" s="2">
        <f>HYPERLINK("https://svao.dolgi.msk.ru/account/1760150719/", 1760150719)</f>
        <v>1760150719</v>
      </c>
      <c r="D6612">
        <v>4873.9399999999996</v>
      </c>
    </row>
    <row r="6613" spans="1:4" x14ac:dyDescent="0.25">
      <c r="A6613" t="s">
        <v>626</v>
      </c>
      <c r="B6613" t="s">
        <v>132</v>
      </c>
      <c r="C6613" s="2">
        <f>HYPERLINK("https://svao.dolgi.msk.ru/account/1760150727/", 1760150727)</f>
        <v>1760150727</v>
      </c>
      <c r="D6613">
        <v>6294.12</v>
      </c>
    </row>
    <row r="6614" spans="1:4" x14ac:dyDescent="0.25">
      <c r="A6614" t="s">
        <v>626</v>
      </c>
      <c r="B6614" t="s">
        <v>26</v>
      </c>
      <c r="C6614" s="2">
        <f>HYPERLINK("https://svao.dolgi.msk.ru/account/1760150735/", 1760150735)</f>
        <v>1760150735</v>
      </c>
      <c r="D6614">
        <v>6522.5</v>
      </c>
    </row>
    <row r="6615" spans="1:4" x14ac:dyDescent="0.25">
      <c r="A6615" t="s">
        <v>626</v>
      </c>
      <c r="B6615" t="s">
        <v>27</v>
      </c>
      <c r="C6615" s="2">
        <f>HYPERLINK("https://svao.dolgi.msk.ru/account/1760150778/", 1760150778)</f>
        <v>1760150778</v>
      </c>
      <c r="D6615">
        <v>3247.55</v>
      </c>
    </row>
    <row r="6616" spans="1:4" x14ac:dyDescent="0.25">
      <c r="A6616" t="s">
        <v>626</v>
      </c>
      <c r="B6616" t="s">
        <v>134</v>
      </c>
      <c r="C6616" s="2">
        <f>HYPERLINK("https://svao.dolgi.msk.ru/account/1760150815/", 1760150815)</f>
        <v>1760150815</v>
      </c>
      <c r="D6616">
        <v>2894.12</v>
      </c>
    </row>
    <row r="6617" spans="1:4" x14ac:dyDescent="0.25">
      <c r="A6617" t="s">
        <v>626</v>
      </c>
      <c r="B6617" t="s">
        <v>29</v>
      </c>
      <c r="C6617" s="2">
        <f>HYPERLINK("https://svao.dolgi.msk.ru/account/1760150858/", 1760150858)</f>
        <v>1760150858</v>
      </c>
      <c r="D6617">
        <v>4946.29</v>
      </c>
    </row>
    <row r="6618" spans="1:4" x14ac:dyDescent="0.25">
      <c r="A6618" t="s">
        <v>627</v>
      </c>
      <c r="B6618" t="s">
        <v>41</v>
      </c>
      <c r="C6618" s="2">
        <f>HYPERLINK("https://svao.dolgi.msk.ru/account/1760156141/", 1760156141)</f>
        <v>1760156141</v>
      </c>
      <c r="D6618">
        <v>6732.24</v>
      </c>
    </row>
    <row r="6619" spans="1:4" x14ac:dyDescent="0.25">
      <c r="A6619" t="s">
        <v>627</v>
      </c>
      <c r="B6619" t="s">
        <v>7</v>
      </c>
      <c r="C6619" s="2">
        <f>HYPERLINK("https://svao.dolgi.msk.ru/account/1760156168/", 1760156168)</f>
        <v>1760156168</v>
      </c>
      <c r="D6619">
        <v>26028.98</v>
      </c>
    </row>
    <row r="6620" spans="1:4" x14ac:dyDescent="0.25">
      <c r="A6620" t="s">
        <v>627</v>
      </c>
      <c r="B6620" t="s">
        <v>102</v>
      </c>
      <c r="C6620" s="2">
        <f>HYPERLINK("https://svao.dolgi.msk.ru/account/1760156192/", 1760156192)</f>
        <v>1760156192</v>
      </c>
      <c r="D6620">
        <v>8382.23</v>
      </c>
    </row>
    <row r="6621" spans="1:4" x14ac:dyDescent="0.25">
      <c r="A6621" t="s">
        <v>627</v>
      </c>
      <c r="B6621" t="s">
        <v>137</v>
      </c>
      <c r="C6621" s="2">
        <f>HYPERLINK("https://svao.dolgi.msk.ru/account/1760156264/", 1760156264)</f>
        <v>1760156264</v>
      </c>
      <c r="D6621">
        <v>610.94000000000005</v>
      </c>
    </row>
    <row r="6622" spans="1:4" x14ac:dyDescent="0.25">
      <c r="A6622" t="s">
        <v>627</v>
      </c>
      <c r="B6622" t="s">
        <v>75</v>
      </c>
      <c r="C6622" s="2">
        <f>HYPERLINK("https://svao.dolgi.msk.ru/account/1760156299/", 1760156299)</f>
        <v>1760156299</v>
      </c>
      <c r="D6622">
        <v>23752.22</v>
      </c>
    </row>
    <row r="6623" spans="1:4" x14ac:dyDescent="0.25">
      <c r="A6623" t="s">
        <v>627</v>
      </c>
      <c r="B6623" t="s">
        <v>91</v>
      </c>
      <c r="C6623" s="2">
        <f>HYPERLINK("https://svao.dolgi.msk.ru/account/1760156301/", 1760156301)</f>
        <v>1760156301</v>
      </c>
      <c r="D6623">
        <v>4448.18</v>
      </c>
    </row>
    <row r="6624" spans="1:4" x14ac:dyDescent="0.25">
      <c r="A6624" t="s">
        <v>627</v>
      </c>
      <c r="B6624" t="s">
        <v>14</v>
      </c>
      <c r="C6624" s="2">
        <f>HYPERLINK("https://svao.dolgi.msk.ru/account/1760156387/", 1760156387)</f>
        <v>1760156387</v>
      </c>
      <c r="D6624">
        <v>7090.59</v>
      </c>
    </row>
    <row r="6625" spans="1:4" x14ac:dyDescent="0.25">
      <c r="A6625" t="s">
        <v>627</v>
      </c>
      <c r="B6625" t="s">
        <v>76</v>
      </c>
      <c r="C6625" s="2">
        <f>HYPERLINK("https://svao.dolgi.msk.ru/account/1760156512/", 1760156512)</f>
        <v>1760156512</v>
      </c>
      <c r="D6625">
        <v>9637.31</v>
      </c>
    </row>
    <row r="6626" spans="1:4" x14ac:dyDescent="0.25">
      <c r="A6626" t="s">
        <v>627</v>
      </c>
      <c r="B6626" t="s">
        <v>111</v>
      </c>
      <c r="C6626" s="2">
        <f>HYPERLINK("https://svao.dolgi.msk.ru/account/1760156555/", 1760156555)</f>
        <v>1760156555</v>
      </c>
      <c r="D6626">
        <v>3053.67</v>
      </c>
    </row>
    <row r="6627" spans="1:4" x14ac:dyDescent="0.25">
      <c r="A6627" t="s">
        <v>627</v>
      </c>
      <c r="B6627" t="s">
        <v>114</v>
      </c>
      <c r="C6627" s="2">
        <f>HYPERLINK("https://svao.dolgi.msk.ru/account/1760156635/", 1760156635)</f>
        <v>1760156635</v>
      </c>
      <c r="D6627">
        <v>4156.3100000000004</v>
      </c>
    </row>
    <row r="6628" spans="1:4" x14ac:dyDescent="0.25">
      <c r="A6628" t="s">
        <v>627</v>
      </c>
      <c r="B6628" t="s">
        <v>23</v>
      </c>
      <c r="C6628" s="2">
        <f>HYPERLINK("https://svao.dolgi.msk.ru/account/1760156686/", 1760156686)</f>
        <v>1760156686</v>
      </c>
      <c r="D6628">
        <v>3844.59</v>
      </c>
    </row>
    <row r="6629" spans="1:4" x14ac:dyDescent="0.25">
      <c r="A6629" t="s">
        <v>627</v>
      </c>
      <c r="B6629" t="s">
        <v>24</v>
      </c>
      <c r="C6629" s="2">
        <f>HYPERLINK("https://svao.dolgi.msk.ru/account/1760156731/", 1760156731)</f>
        <v>1760156731</v>
      </c>
      <c r="D6629">
        <v>3179.39</v>
      </c>
    </row>
    <row r="6630" spans="1:4" x14ac:dyDescent="0.25">
      <c r="A6630" t="s">
        <v>627</v>
      </c>
      <c r="B6630" t="s">
        <v>242</v>
      </c>
      <c r="C6630" s="2">
        <f>HYPERLINK("https://svao.dolgi.msk.ru/account/1760156766/", 1760156766)</f>
        <v>1760156766</v>
      </c>
      <c r="D6630">
        <v>8041.17</v>
      </c>
    </row>
    <row r="6631" spans="1:4" x14ac:dyDescent="0.25">
      <c r="A6631" t="s">
        <v>627</v>
      </c>
      <c r="B6631" t="s">
        <v>242</v>
      </c>
      <c r="C6631" s="2">
        <f>HYPERLINK("https://svao.dolgi.msk.ru/account/1760270921/", 1760270921)</f>
        <v>1760270921</v>
      </c>
      <c r="D6631">
        <v>111.06</v>
      </c>
    </row>
    <row r="6632" spans="1:4" x14ac:dyDescent="0.25">
      <c r="A6632" t="s">
        <v>627</v>
      </c>
      <c r="B6632" t="s">
        <v>128</v>
      </c>
      <c r="C6632" s="2">
        <f>HYPERLINK("https://svao.dolgi.msk.ru/account/1760156926/", 1760156926)</f>
        <v>1760156926</v>
      </c>
      <c r="D6632">
        <v>1747.81</v>
      </c>
    </row>
    <row r="6633" spans="1:4" x14ac:dyDescent="0.25">
      <c r="A6633" t="s">
        <v>627</v>
      </c>
      <c r="B6633" t="s">
        <v>96</v>
      </c>
      <c r="C6633" s="2">
        <f>HYPERLINK("https://svao.dolgi.msk.ru/account/1760156993/", 1760156993)</f>
        <v>1760156993</v>
      </c>
      <c r="D6633">
        <v>7729.1</v>
      </c>
    </row>
    <row r="6634" spans="1:4" x14ac:dyDescent="0.25">
      <c r="A6634" t="s">
        <v>627</v>
      </c>
      <c r="B6634" t="s">
        <v>28</v>
      </c>
      <c r="C6634" s="2">
        <f>HYPERLINK("https://svao.dolgi.msk.ru/account/1760157072/", 1760157072)</f>
        <v>1760157072</v>
      </c>
      <c r="D6634">
        <v>2666.21</v>
      </c>
    </row>
    <row r="6635" spans="1:4" x14ac:dyDescent="0.25">
      <c r="A6635" t="s">
        <v>627</v>
      </c>
      <c r="B6635" t="s">
        <v>98</v>
      </c>
      <c r="C6635" s="2">
        <f>HYPERLINK("https://svao.dolgi.msk.ru/account/1760157208/", 1760157208)</f>
        <v>1760157208</v>
      </c>
      <c r="D6635">
        <v>3798.59</v>
      </c>
    </row>
    <row r="6636" spans="1:4" x14ac:dyDescent="0.25">
      <c r="A6636" t="s">
        <v>627</v>
      </c>
      <c r="B6636" t="s">
        <v>85</v>
      </c>
      <c r="C6636" s="2">
        <f>HYPERLINK("https://svao.dolgi.msk.ru/account/1760157259/", 1760157259)</f>
        <v>1760157259</v>
      </c>
      <c r="D6636">
        <v>204.8</v>
      </c>
    </row>
    <row r="6637" spans="1:4" x14ac:dyDescent="0.25">
      <c r="A6637" t="s">
        <v>627</v>
      </c>
      <c r="B6637" t="s">
        <v>86</v>
      </c>
      <c r="C6637" s="2">
        <f>HYPERLINK("https://svao.dolgi.msk.ru/account/1760157312/", 1760157312)</f>
        <v>1760157312</v>
      </c>
      <c r="D6637">
        <v>3395.35</v>
      </c>
    </row>
    <row r="6638" spans="1:4" x14ac:dyDescent="0.25">
      <c r="A6638" t="s">
        <v>627</v>
      </c>
      <c r="B6638" t="s">
        <v>38</v>
      </c>
      <c r="C6638" s="2">
        <f>HYPERLINK("https://svao.dolgi.msk.ru/account/1760157427/", 1760157427)</f>
        <v>1760157427</v>
      </c>
      <c r="D6638">
        <v>4780.17</v>
      </c>
    </row>
    <row r="6639" spans="1:4" x14ac:dyDescent="0.25">
      <c r="A6639" t="s">
        <v>627</v>
      </c>
      <c r="B6639" t="s">
        <v>89</v>
      </c>
      <c r="C6639" s="2">
        <f>HYPERLINK("https://svao.dolgi.msk.ru/account/1760157494/", 1760157494)</f>
        <v>1760157494</v>
      </c>
      <c r="D6639">
        <v>3509.16</v>
      </c>
    </row>
    <row r="6640" spans="1:4" x14ac:dyDescent="0.25">
      <c r="A6640" t="s">
        <v>627</v>
      </c>
      <c r="B6640" t="s">
        <v>143</v>
      </c>
      <c r="C6640" s="2">
        <f>HYPERLINK("https://svao.dolgi.msk.ru/account/1760157531/", 1760157531)</f>
        <v>1760157531</v>
      </c>
      <c r="D6640">
        <v>5180.66</v>
      </c>
    </row>
    <row r="6641" spans="1:4" x14ac:dyDescent="0.25">
      <c r="A6641" t="s">
        <v>627</v>
      </c>
      <c r="B6641" t="s">
        <v>248</v>
      </c>
      <c r="C6641" s="2">
        <f>HYPERLINK("https://svao.dolgi.msk.ru/account/1760157603/", 1760157603)</f>
        <v>1760157603</v>
      </c>
      <c r="D6641">
        <v>4997.38</v>
      </c>
    </row>
    <row r="6642" spans="1:4" x14ac:dyDescent="0.25">
      <c r="A6642" t="s">
        <v>627</v>
      </c>
      <c r="B6642" t="s">
        <v>46</v>
      </c>
      <c r="C6642" s="2">
        <f>HYPERLINK("https://svao.dolgi.msk.ru/account/1760157611/", 1760157611)</f>
        <v>1760157611</v>
      </c>
      <c r="D6642">
        <v>2468.09</v>
      </c>
    </row>
    <row r="6643" spans="1:4" x14ac:dyDescent="0.25">
      <c r="A6643" t="s">
        <v>627</v>
      </c>
      <c r="B6643" t="s">
        <v>307</v>
      </c>
      <c r="C6643" s="2">
        <f>HYPERLINK("https://svao.dolgi.msk.ru/account/1760157902/", 1760157902)</f>
        <v>1760157902</v>
      </c>
      <c r="D6643">
        <v>4196.92</v>
      </c>
    </row>
    <row r="6644" spans="1:4" x14ac:dyDescent="0.25">
      <c r="A6644" t="s">
        <v>627</v>
      </c>
      <c r="B6644" t="s">
        <v>253</v>
      </c>
      <c r="C6644" s="2">
        <f>HYPERLINK("https://svao.dolgi.msk.ru/account/1760157996/", 1760157996)</f>
        <v>1760157996</v>
      </c>
      <c r="D6644">
        <v>2394.0700000000002</v>
      </c>
    </row>
    <row r="6645" spans="1:4" x14ac:dyDescent="0.25">
      <c r="A6645" t="s">
        <v>627</v>
      </c>
      <c r="B6645" t="s">
        <v>428</v>
      </c>
      <c r="C6645" s="2">
        <f>HYPERLINK("https://svao.dolgi.msk.ru/account/1760158016/", 1760158016)</f>
        <v>1760158016</v>
      </c>
      <c r="D6645">
        <v>4422.84</v>
      </c>
    </row>
    <row r="6646" spans="1:4" x14ac:dyDescent="0.25">
      <c r="A6646" t="s">
        <v>627</v>
      </c>
      <c r="B6646" t="s">
        <v>309</v>
      </c>
      <c r="C6646" s="2">
        <f>HYPERLINK("https://svao.dolgi.msk.ru/account/1760158032/", 1760158032)</f>
        <v>1760158032</v>
      </c>
      <c r="D6646">
        <v>3593.43</v>
      </c>
    </row>
    <row r="6647" spans="1:4" x14ac:dyDescent="0.25">
      <c r="A6647" t="s">
        <v>627</v>
      </c>
      <c r="B6647" t="s">
        <v>255</v>
      </c>
      <c r="C6647" s="2">
        <f>HYPERLINK("https://svao.dolgi.msk.ru/account/1760158075/", 1760158075)</f>
        <v>1760158075</v>
      </c>
      <c r="D6647">
        <v>143131.01999999999</v>
      </c>
    </row>
    <row r="6648" spans="1:4" x14ac:dyDescent="0.25">
      <c r="A6648" t="s">
        <v>627</v>
      </c>
      <c r="B6648" t="s">
        <v>55</v>
      </c>
      <c r="C6648" s="2">
        <f>HYPERLINK("https://svao.dolgi.msk.ru/account/1760158083/", 1760158083)</f>
        <v>1760158083</v>
      </c>
      <c r="D6648">
        <v>685.21</v>
      </c>
    </row>
    <row r="6649" spans="1:4" x14ac:dyDescent="0.25">
      <c r="A6649" t="s">
        <v>627</v>
      </c>
      <c r="B6649" t="s">
        <v>156</v>
      </c>
      <c r="C6649" s="2">
        <f>HYPERLINK("https://svao.dolgi.msk.ru/account/1760158227/", 1760158227)</f>
        <v>1760158227</v>
      </c>
      <c r="D6649">
        <v>12527.12</v>
      </c>
    </row>
    <row r="6650" spans="1:4" x14ac:dyDescent="0.25">
      <c r="A6650" t="s">
        <v>627</v>
      </c>
      <c r="B6650" t="s">
        <v>340</v>
      </c>
      <c r="C6650" s="2">
        <f>HYPERLINK("https://svao.dolgi.msk.ru/account/1760158251/", 1760158251)</f>
        <v>1760158251</v>
      </c>
      <c r="D6650">
        <v>39585.06</v>
      </c>
    </row>
    <row r="6651" spans="1:4" x14ac:dyDescent="0.25">
      <c r="A6651" t="s">
        <v>627</v>
      </c>
      <c r="B6651" t="s">
        <v>58</v>
      </c>
      <c r="C6651" s="2">
        <f>HYPERLINK("https://svao.dolgi.msk.ru/account/1760158307/", 1760158307)</f>
        <v>1760158307</v>
      </c>
      <c r="D6651">
        <v>77309.279999999999</v>
      </c>
    </row>
    <row r="6652" spans="1:4" x14ac:dyDescent="0.25">
      <c r="A6652" t="s">
        <v>628</v>
      </c>
      <c r="B6652" t="s">
        <v>7</v>
      </c>
      <c r="C6652" s="2">
        <f>HYPERLINK("https://svao.dolgi.msk.ru/account/1760092731/", 1760092731)</f>
        <v>1760092731</v>
      </c>
      <c r="D6652">
        <v>2490.5500000000002</v>
      </c>
    </row>
    <row r="6653" spans="1:4" x14ac:dyDescent="0.25">
      <c r="A6653" t="s">
        <v>628</v>
      </c>
      <c r="B6653" t="s">
        <v>102</v>
      </c>
      <c r="C6653" s="2">
        <f>HYPERLINK("https://svao.dolgi.msk.ru/account/1760092803/", 1760092803)</f>
        <v>1760092803</v>
      </c>
      <c r="D6653">
        <v>772.12</v>
      </c>
    </row>
    <row r="6654" spans="1:4" x14ac:dyDescent="0.25">
      <c r="A6654" t="s">
        <v>628</v>
      </c>
      <c r="B6654" t="s">
        <v>103</v>
      </c>
      <c r="C6654" s="2">
        <f>HYPERLINK("https://svao.dolgi.msk.ru/account/1760092811/", 1760092811)</f>
        <v>1760092811</v>
      </c>
      <c r="D6654">
        <v>14562.3</v>
      </c>
    </row>
    <row r="6655" spans="1:4" x14ac:dyDescent="0.25">
      <c r="A6655" t="s">
        <v>628</v>
      </c>
      <c r="B6655" t="s">
        <v>73</v>
      </c>
      <c r="C6655" s="2">
        <f>HYPERLINK("https://svao.dolgi.msk.ru/account/1760092838/", 1760092838)</f>
        <v>1760092838</v>
      </c>
      <c r="D6655">
        <v>568.20000000000005</v>
      </c>
    </row>
    <row r="6656" spans="1:4" x14ac:dyDescent="0.25">
      <c r="A6656" t="s">
        <v>628</v>
      </c>
      <c r="B6656" t="s">
        <v>75</v>
      </c>
      <c r="C6656" s="2">
        <f>HYPERLINK("https://svao.dolgi.msk.ru/account/1760092918/", 1760092918)</f>
        <v>1760092918</v>
      </c>
      <c r="D6656">
        <v>7270.78</v>
      </c>
    </row>
    <row r="6657" spans="1:4" x14ac:dyDescent="0.25">
      <c r="A6657" t="s">
        <v>628</v>
      </c>
      <c r="B6657" t="s">
        <v>91</v>
      </c>
      <c r="C6657" s="2">
        <f>HYPERLINK("https://svao.dolgi.msk.ru/account/1760092926/", 1760092926)</f>
        <v>1760092926</v>
      </c>
      <c r="D6657">
        <v>27849.93</v>
      </c>
    </row>
    <row r="6658" spans="1:4" x14ac:dyDescent="0.25">
      <c r="A6658" t="s">
        <v>628</v>
      </c>
      <c r="B6658" t="s">
        <v>12</v>
      </c>
      <c r="C6658" s="2">
        <f>HYPERLINK("https://svao.dolgi.msk.ru/account/1760092977/", 1760092977)</f>
        <v>1760092977</v>
      </c>
      <c r="D6658">
        <v>5317.05</v>
      </c>
    </row>
    <row r="6659" spans="1:4" x14ac:dyDescent="0.25">
      <c r="A6659" t="s">
        <v>628</v>
      </c>
      <c r="B6659" t="s">
        <v>13</v>
      </c>
      <c r="C6659" s="2">
        <f>HYPERLINK("https://svao.dolgi.msk.ru/account/1760092985/", 1760092985)</f>
        <v>1760092985</v>
      </c>
      <c r="D6659">
        <v>175761.56</v>
      </c>
    </row>
    <row r="6660" spans="1:4" x14ac:dyDescent="0.25">
      <c r="A6660" t="s">
        <v>628</v>
      </c>
      <c r="B6660" t="s">
        <v>106</v>
      </c>
      <c r="C6660" s="2">
        <f>HYPERLINK("https://svao.dolgi.msk.ru/account/1760093013/", 1760093013)</f>
        <v>1760093013</v>
      </c>
      <c r="D6660">
        <v>5083.2700000000004</v>
      </c>
    </row>
    <row r="6661" spans="1:4" x14ac:dyDescent="0.25">
      <c r="A6661" t="s">
        <v>628</v>
      </c>
      <c r="B6661" t="s">
        <v>108</v>
      </c>
      <c r="C6661" s="2">
        <f>HYPERLINK("https://svao.dolgi.msk.ru/account/1760093064/", 1760093064)</f>
        <v>1760093064</v>
      </c>
      <c r="D6661">
        <v>2424.98</v>
      </c>
    </row>
    <row r="6662" spans="1:4" x14ac:dyDescent="0.25">
      <c r="A6662" t="s">
        <v>628</v>
      </c>
      <c r="B6662" t="s">
        <v>19</v>
      </c>
      <c r="C6662" s="2">
        <f>HYPERLINK("https://svao.dolgi.msk.ru/account/1760093136/", 1760093136)</f>
        <v>1760093136</v>
      </c>
      <c r="D6662">
        <v>5870.69</v>
      </c>
    </row>
    <row r="6663" spans="1:4" x14ac:dyDescent="0.25">
      <c r="A6663" t="s">
        <v>628</v>
      </c>
      <c r="B6663" t="s">
        <v>109</v>
      </c>
      <c r="C6663" s="2">
        <f>HYPERLINK("https://svao.dolgi.msk.ru/account/1760093144/", 1760093144)</f>
        <v>1760093144</v>
      </c>
      <c r="D6663">
        <v>978.22</v>
      </c>
    </row>
    <row r="6664" spans="1:4" x14ac:dyDescent="0.25">
      <c r="A6664" t="s">
        <v>628</v>
      </c>
      <c r="B6664" t="s">
        <v>20</v>
      </c>
      <c r="C6664" s="2">
        <f>HYPERLINK("https://svao.dolgi.msk.ru/account/1760093179/", 1760093179)</f>
        <v>1760093179</v>
      </c>
      <c r="D6664">
        <v>7347.07</v>
      </c>
    </row>
    <row r="6665" spans="1:4" x14ac:dyDescent="0.25">
      <c r="A6665" t="s">
        <v>628</v>
      </c>
      <c r="B6665" t="s">
        <v>92</v>
      </c>
      <c r="C6665" s="2">
        <f>HYPERLINK("https://svao.dolgi.msk.ru/account/1760093195/", 1760093195)</f>
        <v>1760093195</v>
      </c>
      <c r="D6665">
        <v>5742.21</v>
      </c>
    </row>
    <row r="6666" spans="1:4" x14ac:dyDescent="0.25">
      <c r="A6666" t="s">
        <v>628</v>
      </c>
      <c r="B6666" t="s">
        <v>111</v>
      </c>
      <c r="C6666" s="2">
        <f>HYPERLINK("https://svao.dolgi.msk.ru/account/1760093216/", 1760093216)</f>
        <v>1760093216</v>
      </c>
      <c r="D6666">
        <v>7969.21</v>
      </c>
    </row>
    <row r="6667" spans="1:4" x14ac:dyDescent="0.25">
      <c r="A6667" t="s">
        <v>628</v>
      </c>
      <c r="B6667" t="s">
        <v>78</v>
      </c>
      <c r="C6667" s="2">
        <f>HYPERLINK("https://svao.dolgi.msk.ru/account/1760093291/", 1760093291)</f>
        <v>1760093291</v>
      </c>
      <c r="D6667">
        <v>1037.17</v>
      </c>
    </row>
    <row r="6668" spans="1:4" x14ac:dyDescent="0.25">
      <c r="A6668" t="s">
        <v>628</v>
      </c>
      <c r="B6668" t="s">
        <v>79</v>
      </c>
      <c r="C6668" s="2">
        <f>HYPERLINK("https://svao.dolgi.msk.ru/account/1760093312/", 1760093312)</f>
        <v>1760093312</v>
      </c>
      <c r="D6668">
        <v>8746.33</v>
      </c>
    </row>
    <row r="6669" spans="1:4" x14ac:dyDescent="0.25">
      <c r="A6669" t="s">
        <v>628</v>
      </c>
      <c r="B6669" t="s">
        <v>115</v>
      </c>
      <c r="C6669" s="2">
        <f>HYPERLINK("https://svao.dolgi.msk.ru/account/1760093419/", 1760093419)</f>
        <v>1760093419</v>
      </c>
      <c r="D6669">
        <v>6585.7</v>
      </c>
    </row>
    <row r="6670" spans="1:4" x14ac:dyDescent="0.25">
      <c r="A6670" t="s">
        <v>628</v>
      </c>
      <c r="B6670" t="s">
        <v>95</v>
      </c>
      <c r="C6670" s="2">
        <f>HYPERLINK("https://svao.dolgi.msk.ru/account/1760093478/", 1760093478)</f>
        <v>1760093478</v>
      </c>
      <c r="D6670">
        <v>6641.6</v>
      </c>
    </row>
    <row r="6671" spans="1:4" x14ac:dyDescent="0.25">
      <c r="A6671" t="s">
        <v>628</v>
      </c>
      <c r="B6671" t="s">
        <v>125</v>
      </c>
      <c r="C6671" s="2">
        <f>HYPERLINK("https://svao.dolgi.msk.ru/account/1760093494/", 1760093494)</f>
        <v>1760093494</v>
      </c>
      <c r="D6671">
        <v>7300.67</v>
      </c>
    </row>
    <row r="6672" spans="1:4" x14ac:dyDescent="0.25">
      <c r="A6672" t="s">
        <v>628</v>
      </c>
      <c r="B6672" t="s">
        <v>126</v>
      </c>
      <c r="C6672" s="2">
        <f>HYPERLINK("https://svao.dolgi.msk.ru/account/1760093507/", 1760093507)</f>
        <v>1760093507</v>
      </c>
      <c r="D6672">
        <v>8117.75</v>
      </c>
    </row>
    <row r="6673" spans="1:4" x14ac:dyDescent="0.25">
      <c r="A6673" t="s">
        <v>628</v>
      </c>
      <c r="B6673" t="s">
        <v>118</v>
      </c>
      <c r="C6673" s="2">
        <f>HYPERLINK("https://svao.dolgi.msk.ru/account/1760093515/", 1760093515)</f>
        <v>1760093515</v>
      </c>
      <c r="D6673">
        <v>642.69000000000005</v>
      </c>
    </row>
    <row r="6674" spans="1:4" x14ac:dyDescent="0.25">
      <c r="A6674" t="s">
        <v>628</v>
      </c>
      <c r="B6674" t="s">
        <v>118</v>
      </c>
      <c r="C6674" s="2">
        <f>HYPERLINK("https://svao.dolgi.msk.ru/account/1760093523/", 1760093523)</f>
        <v>1760093523</v>
      </c>
      <c r="D6674">
        <v>7569.2</v>
      </c>
    </row>
    <row r="6675" spans="1:4" x14ac:dyDescent="0.25">
      <c r="A6675" t="s">
        <v>628</v>
      </c>
      <c r="B6675" t="s">
        <v>118</v>
      </c>
      <c r="C6675" s="2">
        <f>HYPERLINK("https://svao.dolgi.msk.ru/account/1760093531/", 1760093531)</f>
        <v>1760093531</v>
      </c>
      <c r="D6675">
        <v>895.18</v>
      </c>
    </row>
    <row r="6676" spans="1:4" x14ac:dyDescent="0.25">
      <c r="A6676" t="s">
        <v>628</v>
      </c>
      <c r="B6676" t="s">
        <v>25</v>
      </c>
      <c r="C6676" s="2">
        <f>HYPERLINK("https://svao.dolgi.msk.ru/account/1760093654/", 1760093654)</f>
        <v>1760093654</v>
      </c>
      <c r="D6676">
        <v>9018.1200000000008</v>
      </c>
    </row>
    <row r="6677" spans="1:4" x14ac:dyDescent="0.25">
      <c r="A6677" t="s">
        <v>628</v>
      </c>
      <c r="B6677" t="s">
        <v>132</v>
      </c>
      <c r="C6677" s="2">
        <f>HYPERLINK("https://svao.dolgi.msk.ru/account/1760093689/", 1760093689)</f>
        <v>1760093689</v>
      </c>
      <c r="D6677">
        <v>31458.82</v>
      </c>
    </row>
    <row r="6678" spans="1:4" x14ac:dyDescent="0.25">
      <c r="A6678" t="s">
        <v>628</v>
      </c>
      <c r="B6678" t="s">
        <v>96</v>
      </c>
      <c r="C6678" s="2">
        <f>HYPERLINK("https://svao.dolgi.msk.ru/account/1760093726/", 1760093726)</f>
        <v>1760093726</v>
      </c>
      <c r="D6678">
        <v>5833.56</v>
      </c>
    </row>
    <row r="6679" spans="1:4" x14ac:dyDescent="0.25">
      <c r="A6679" t="s">
        <v>628</v>
      </c>
      <c r="B6679" t="s">
        <v>29</v>
      </c>
      <c r="C6679" s="2">
        <f>HYPERLINK("https://svao.dolgi.msk.ru/account/1760093814/", 1760093814)</f>
        <v>1760093814</v>
      </c>
      <c r="D6679">
        <v>14504.87</v>
      </c>
    </row>
    <row r="6680" spans="1:4" x14ac:dyDescent="0.25">
      <c r="A6680" t="s">
        <v>628</v>
      </c>
      <c r="B6680" t="s">
        <v>129</v>
      </c>
      <c r="C6680" s="2">
        <f>HYPERLINK("https://svao.dolgi.msk.ru/account/1760093849/", 1760093849)</f>
        <v>1760093849</v>
      </c>
      <c r="D6680">
        <v>5288.49</v>
      </c>
    </row>
    <row r="6681" spans="1:4" x14ac:dyDescent="0.25">
      <c r="A6681" t="s">
        <v>628</v>
      </c>
      <c r="B6681" t="s">
        <v>97</v>
      </c>
      <c r="C6681" s="2">
        <f>HYPERLINK("https://svao.dolgi.msk.ru/account/1760093865/", 1760093865)</f>
        <v>1760093865</v>
      </c>
      <c r="D6681">
        <v>8628.1</v>
      </c>
    </row>
    <row r="6682" spans="1:4" x14ac:dyDescent="0.25">
      <c r="A6682" t="s">
        <v>628</v>
      </c>
      <c r="B6682" t="s">
        <v>31</v>
      </c>
      <c r="C6682" s="2">
        <f>HYPERLINK("https://svao.dolgi.msk.ru/account/1760093881/", 1760093881)</f>
        <v>1760093881</v>
      </c>
      <c r="D6682">
        <v>8146.8</v>
      </c>
    </row>
    <row r="6683" spans="1:4" x14ac:dyDescent="0.25">
      <c r="A6683" t="s">
        <v>629</v>
      </c>
      <c r="B6683" t="s">
        <v>5</v>
      </c>
      <c r="C6683" s="2">
        <f>HYPERLINK("https://svao.dolgi.msk.ru/account/1760086841/", 1760086841)</f>
        <v>1760086841</v>
      </c>
      <c r="D6683">
        <v>7732.78</v>
      </c>
    </row>
    <row r="6684" spans="1:4" x14ac:dyDescent="0.25">
      <c r="A6684" t="s">
        <v>629</v>
      </c>
      <c r="B6684" t="s">
        <v>102</v>
      </c>
      <c r="C6684" s="2">
        <f>HYPERLINK("https://svao.dolgi.msk.ru/account/1760086892/", 1760086892)</f>
        <v>1760086892</v>
      </c>
      <c r="D6684">
        <v>6873.91</v>
      </c>
    </row>
    <row r="6685" spans="1:4" x14ac:dyDescent="0.25">
      <c r="A6685" t="s">
        <v>629</v>
      </c>
      <c r="B6685" t="s">
        <v>8</v>
      </c>
      <c r="C6685" s="2">
        <f>HYPERLINK("https://svao.dolgi.msk.ru/account/1760086956/", 1760086956)</f>
        <v>1760086956</v>
      </c>
      <c r="D6685">
        <v>5719.71</v>
      </c>
    </row>
    <row r="6686" spans="1:4" x14ac:dyDescent="0.25">
      <c r="A6686" t="s">
        <v>629</v>
      </c>
      <c r="B6686" t="s">
        <v>11</v>
      </c>
      <c r="C6686" s="2">
        <f>HYPERLINK("https://svao.dolgi.msk.ru/account/1760087107/", 1760087107)</f>
        <v>1760087107</v>
      </c>
      <c r="D6686">
        <v>195805.77</v>
      </c>
    </row>
    <row r="6687" spans="1:4" x14ac:dyDescent="0.25">
      <c r="A6687" t="s">
        <v>629</v>
      </c>
      <c r="B6687" t="s">
        <v>12</v>
      </c>
      <c r="C6687" s="2">
        <f>HYPERLINK("https://svao.dolgi.msk.ru/account/1760087115/", 1760087115)</f>
        <v>1760087115</v>
      </c>
      <c r="D6687">
        <v>8750.4599999999991</v>
      </c>
    </row>
    <row r="6688" spans="1:4" x14ac:dyDescent="0.25">
      <c r="A6688" t="s">
        <v>629</v>
      </c>
      <c r="B6688" t="s">
        <v>13</v>
      </c>
      <c r="C6688" s="2">
        <f>HYPERLINK("https://svao.dolgi.msk.ru/account/1760087123/", 1760087123)</f>
        <v>1760087123</v>
      </c>
      <c r="D6688">
        <v>4307.5600000000004</v>
      </c>
    </row>
    <row r="6689" spans="1:4" x14ac:dyDescent="0.25">
      <c r="A6689" t="s">
        <v>629</v>
      </c>
      <c r="B6689" t="s">
        <v>15</v>
      </c>
      <c r="C6689" s="2">
        <f>HYPERLINK("https://svao.dolgi.msk.ru/account/1760087174/", 1760087174)</f>
        <v>1760087174</v>
      </c>
      <c r="D6689">
        <v>9503.2099999999991</v>
      </c>
    </row>
    <row r="6690" spans="1:4" x14ac:dyDescent="0.25">
      <c r="A6690" t="s">
        <v>629</v>
      </c>
      <c r="B6690" t="s">
        <v>108</v>
      </c>
      <c r="C6690" s="2">
        <f>HYPERLINK("https://svao.dolgi.msk.ru/account/1760087182/", 1760087182)</f>
        <v>1760087182</v>
      </c>
      <c r="D6690">
        <v>4153.5600000000004</v>
      </c>
    </row>
    <row r="6691" spans="1:4" x14ac:dyDescent="0.25">
      <c r="A6691" t="s">
        <v>629</v>
      </c>
      <c r="B6691" t="s">
        <v>110</v>
      </c>
      <c r="C6691" s="2">
        <f>HYPERLINK("https://svao.dolgi.msk.ru/account/1760087262/", 1760087262)</f>
        <v>1760087262</v>
      </c>
      <c r="D6691">
        <v>8174.72</v>
      </c>
    </row>
    <row r="6692" spans="1:4" x14ac:dyDescent="0.25">
      <c r="A6692" t="s">
        <v>629</v>
      </c>
      <c r="B6692" t="s">
        <v>117</v>
      </c>
      <c r="C6692" s="2">
        <f>HYPERLINK("https://svao.dolgi.msk.ru/account/1760087473/", 1760087473)</f>
        <v>1760087473</v>
      </c>
      <c r="D6692">
        <v>6631.83</v>
      </c>
    </row>
    <row r="6693" spans="1:4" x14ac:dyDescent="0.25">
      <c r="A6693" t="s">
        <v>629</v>
      </c>
      <c r="B6693" t="s">
        <v>314</v>
      </c>
      <c r="C6693" s="2">
        <f>HYPERLINK("https://svao.dolgi.msk.ru/account/1760087537/", 1760087537)</f>
        <v>1760087537</v>
      </c>
      <c r="D6693">
        <v>10553.22</v>
      </c>
    </row>
    <row r="6694" spans="1:4" x14ac:dyDescent="0.25">
      <c r="A6694" t="s">
        <v>629</v>
      </c>
      <c r="B6694" t="s">
        <v>26</v>
      </c>
      <c r="C6694" s="2">
        <f>HYPERLINK("https://svao.dolgi.msk.ru/account/1760087764/", 1760087764)</f>
        <v>1760087764</v>
      </c>
      <c r="D6694">
        <v>6443.68</v>
      </c>
    </row>
    <row r="6695" spans="1:4" x14ac:dyDescent="0.25">
      <c r="A6695" t="s">
        <v>629</v>
      </c>
      <c r="B6695" t="s">
        <v>96</v>
      </c>
      <c r="C6695" s="2">
        <f>HYPERLINK("https://svao.dolgi.msk.ru/account/1760087801/", 1760087801)</f>
        <v>1760087801</v>
      </c>
      <c r="D6695">
        <v>9203.5400000000009</v>
      </c>
    </row>
    <row r="6696" spans="1:4" x14ac:dyDescent="0.25">
      <c r="A6696" t="s">
        <v>629</v>
      </c>
      <c r="B6696" t="s">
        <v>27</v>
      </c>
      <c r="C6696" s="2">
        <f>HYPERLINK("https://svao.dolgi.msk.ru/account/1760087836/", 1760087836)</f>
        <v>1760087836</v>
      </c>
      <c r="D6696">
        <v>48293.65</v>
      </c>
    </row>
    <row r="6697" spans="1:4" x14ac:dyDescent="0.25">
      <c r="A6697" t="s">
        <v>629</v>
      </c>
      <c r="B6697" t="s">
        <v>290</v>
      </c>
      <c r="C6697" s="2">
        <f>HYPERLINK("https://svao.dolgi.msk.ru/account/1760087916/", 1760087916)</f>
        <v>1760087916</v>
      </c>
      <c r="D6697">
        <v>7439.96</v>
      </c>
    </row>
    <row r="6698" spans="1:4" x14ac:dyDescent="0.25">
      <c r="A6698" t="s">
        <v>629</v>
      </c>
      <c r="B6698" t="s">
        <v>139</v>
      </c>
      <c r="C6698" s="2">
        <f>HYPERLINK("https://svao.dolgi.msk.ru/account/1760087908/", 1760087908)</f>
        <v>1760087908</v>
      </c>
      <c r="D6698">
        <v>8488.59</v>
      </c>
    </row>
    <row r="6699" spans="1:4" x14ac:dyDescent="0.25">
      <c r="A6699" t="s">
        <v>629</v>
      </c>
      <c r="B6699" t="s">
        <v>31</v>
      </c>
      <c r="C6699" s="2">
        <f>HYPERLINK("https://svao.dolgi.msk.ru/account/1760088011/", 1760088011)</f>
        <v>1760088011</v>
      </c>
      <c r="D6699">
        <v>7202.66</v>
      </c>
    </row>
    <row r="6700" spans="1:4" x14ac:dyDescent="0.25">
      <c r="A6700" t="s">
        <v>629</v>
      </c>
      <c r="B6700" t="s">
        <v>98</v>
      </c>
      <c r="C6700" s="2">
        <f>HYPERLINK("https://svao.dolgi.msk.ru/account/1760088046/", 1760088046)</f>
        <v>1760088046</v>
      </c>
      <c r="D6700">
        <v>34218.43</v>
      </c>
    </row>
    <row r="6701" spans="1:4" x14ac:dyDescent="0.25">
      <c r="A6701" t="s">
        <v>629</v>
      </c>
      <c r="B6701" t="s">
        <v>85</v>
      </c>
      <c r="C6701" s="2">
        <f>HYPERLINK("https://svao.dolgi.msk.ru/account/1760088097/", 1760088097)</f>
        <v>1760088097</v>
      </c>
      <c r="D6701">
        <v>8776.34</v>
      </c>
    </row>
    <row r="6702" spans="1:4" x14ac:dyDescent="0.25">
      <c r="A6702" t="s">
        <v>629</v>
      </c>
      <c r="B6702" t="s">
        <v>293</v>
      </c>
      <c r="C6702" s="2">
        <f>HYPERLINK("https://svao.dolgi.msk.ru/account/1760088249/", 1760088249)</f>
        <v>1760088249</v>
      </c>
      <c r="D6702">
        <v>4490.75</v>
      </c>
    </row>
    <row r="6703" spans="1:4" x14ac:dyDescent="0.25">
      <c r="A6703" t="s">
        <v>629</v>
      </c>
      <c r="B6703" t="s">
        <v>38</v>
      </c>
      <c r="C6703" s="2">
        <f>HYPERLINK("https://svao.dolgi.msk.ru/account/1760088281/", 1760088281)</f>
        <v>1760088281</v>
      </c>
      <c r="D6703">
        <v>255.67</v>
      </c>
    </row>
    <row r="6704" spans="1:4" x14ac:dyDescent="0.25">
      <c r="A6704" t="s">
        <v>629</v>
      </c>
      <c r="B6704" t="s">
        <v>246</v>
      </c>
      <c r="C6704" s="2">
        <f>HYPERLINK("https://svao.dolgi.msk.ru/account/1760088329/", 1760088329)</f>
        <v>1760088329</v>
      </c>
      <c r="D6704">
        <v>9570.89</v>
      </c>
    </row>
    <row r="6705" spans="1:4" x14ac:dyDescent="0.25">
      <c r="A6705" t="s">
        <v>629</v>
      </c>
      <c r="B6705" t="s">
        <v>246</v>
      </c>
      <c r="C6705" s="2">
        <f>HYPERLINK("https://svao.dolgi.msk.ru/account/1760088337/", 1760088337)</f>
        <v>1760088337</v>
      </c>
      <c r="D6705">
        <v>3003.28</v>
      </c>
    </row>
    <row r="6706" spans="1:4" x14ac:dyDescent="0.25">
      <c r="A6706" t="s">
        <v>629</v>
      </c>
      <c r="B6706" t="s">
        <v>140</v>
      </c>
      <c r="C6706" s="2">
        <f>HYPERLINK("https://svao.dolgi.msk.ru/account/1760088361/", 1760088361)</f>
        <v>1760088361</v>
      </c>
      <c r="D6706">
        <v>11181.27</v>
      </c>
    </row>
    <row r="6707" spans="1:4" x14ac:dyDescent="0.25">
      <c r="A6707" t="s">
        <v>629</v>
      </c>
      <c r="B6707" t="s">
        <v>142</v>
      </c>
      <c r="C6707" s="2">
        <f>HYPERLINK("https://svao.dolgi.msk.ru/account/1760088417/", 1760088417)</f>
        <v>1760088417</v>
      </c>
      <c r="D6707">
        <v>39112.639999999999</v>
      </c>
    </row>
    <row r="6708" spans="1:4" x14ac:dyDescent="0.25">
      <c r="A6708" t="s">
        <v>629</v>
      </c>
      <c r="B6708" t="s">
        <v>143</v>
      </c>
      <c r="C6708" s="2">
        <f>HYPERLINK("https://svao.dolgi.msk.ru/account/1760088468/", 1760088468)</f>
        <v>1760088468</v>
      </c>
      <c r="D6708">
        <v>2556.31</v>
      </c>
    </row>
    <row r="6709" spans="1:4" x14ac:dyDescent="0.25">
      <c r="A6709" t="s">
        <v>629</v>
      </c>
      <c r="B6709" t="s">
        <v>45</v>
      </c>
      <c r="C6709" s="2">
        <f>HYPERLINK("https://svao.dolgi.msk.ru/account/1760088433/", 1760088433)</f>
        <v>1760088433</v>
      </c>
      <c r="D6709">
        <v>8581.73</v>
      </c>
    </row>
    <row r="6710" spans="1:4" x14ac:dyDescent="0.25">
      <c r="A6710" t="s">
        <v>629</v>
      </c>
      <c r="B6710" t="s">
        <v>144</v>
      </c>
      <c r="C6710" s="2">
        <f>HYPERLINK("https://svao.dolgi.msk.ru/account/1760088492/", 1760088492)</f>
        <v>1760088492</v>
      </c>
      <c r="D6710">
        <v>10715.94</v>
      </c>
    </row>
    <row r="6711" spans="1:4" x14ac:dyDescent="0.25">
      <c r="A6711" t="s">
        <v>629</v>
      </c>
      <c r="B6711" t="s">
        <v>46</v>
      </c>
      <c r="C6711" s="2">
        <f>HYPERLINK("https://svao.dolgi.msk.ru/account/1760088556/", 1760088556)</f>
        <v>1760088556</v>
      </c>
      <c r="D6711">
        <v>432.13</v>
      </c>
    </row>
    <row r="6712" spans="1:4" x14ac:dyDescent="0.25">
      <c r="A6712" t="s">
        <v>629</v>
      </c>
      <c r="B6712" t="s">
        <v>294</v>
      </c>
      <c r="C6712" s="2">
        <f>HYPERLINK("https://svao.dolgi.msk.ru/account/1760088687/", 1760088687)</f>
        <v>1760088687</v>
      </c>
      <c r="D6712">
        <v>10818.58</v>
      </c>
    </row>
    <row r="6713" spans="1:4" x14ac:dyDescent="0.25">
      <c r="A6713" t="s">
        <v>629</v>
      </c>
      <c r="B6713" t="s">
        <v>331</v>
      </c>
      <c r="C6713" s="2">
        <f>HYPERLINK("https://svao.dolgi.msk.ru/account/1760088783/", 1760088783)</f>
        <v>1760088783</v>
      </c>
      <c r="D6713">
        <v>11727.49</v>
      </c>
    </row>
    <row r="6714" spans="1:4" x14ac:dyDescent="0.25">
      <c r="A6714" t="s">
        <v>629</v>
      </c>
      <c r="B6714" t="s">
        <v>148</v>
      </c>
      <c r="C6714" s="2">
        <f>HYPERLINK("https://svao.dolgi.msk.ru/account/1760088804/", 1760088804)</f>
        <v>1760088804</v>
      </c>
      <c r="D6714">
        <v>9023.98</v>
      </c>
    </row>
    <row r="6715" spans="1:4" x14ac:dyDescent="0.25">
      <c r="A6715" t="s">
        <v>629</v>
      </c>
      <c r="B6715" t="s">
        <v>296</v>
      </c>
      <c r="C6715" s="2">
        <f>HYPERLINK("https://svao.dolgi.msk.ru/account/1760088927/", 1760088927)</f>
        <v>1760088927</v>
      </c>
      <c r="D6715">
        <v>18451.16</v>
      </c>
    </row>
    <row r="6716" spans="1:4" x14ac:dyDescent="0.25">
      <c r="A6716" t="s">
        <v>629</v>
      </c>
      <c r="B6716" t="s">
        <v>53</v>
      </c>
      <c r="C6716" s="2">
        <f>HYPERLINK("https://svao.dolgi.msk.ru/account/1760088951/", 1760088951)</f>
        <v>1760088951</v>
      </c>
      <c r="D6716">
        <v>153248.21</v>
      </c>
    </row>
    <row r="6717" spans="1:4" x14ac:dyDescent="0.25">
      <c r="A6717" t="s">
        <v>629</v>
      </c>
      <c r="B6717" t="s">
        <v>309</v>
      </c>
      <c r="C6717" s="2">
        <f>HYPERLINK("https://svao.dolgi.msk.ru/account/1760089022/", 1760089022)</f>
        <v>1760089022</v>
      </c>
      <c r="D6717">
        <v>5544.68</v>
      </c>
    </row>
    <row r="6718" spans="1:4" x14ac:dyDescent="0.25">
      <c r="A6718" t="s">
        <v>629</v>
      </c>
      <c r="B6718" t="s">
        <v>327</v>
      </c>
      <c r="C6718" s="2">
        <f>HYPERLINK("https://svao.dolgi.msk.ru/account/1760089137/", 1760089137)</f>
        <v>1760089137</v>
      </c>
      <c r="D6718">
        <v>4220.6899999999996</v>
      </c>
    </row>
    <row r="6719" spans="1:4" x14ac:dyDescent="0.25">
      <c r="A6719" t="s">
        <v>629</v>
      </c>
      <c r="B6719" t="s">
        <v>154</v>
      </c>
      <c r="C6719" s="2">
        <f>HYPERLINK("https://svao.dolgi.msk.ru/account/1760089161/", 1760089161)</f>
        <v>1760089161</v>
      </c>
      <c r="D6719">
        <v>2241.48</v>
      </c>
    </row>
    <row r="6720" spans="1:4" x14ac:dyDescent="0.25">
      <c r="A6720" t="s">
        <v>630</v>
      </c>
      <c r="B6720" t="s">
        <v>6</v>
      </c>
      <c r="C6720" s="2">
        <f>HYPERLINK("https://svao.dolgi.msk.ru/account/1760089209/", 1760089209)</f>
        <v>1760089209</v>
      </c>
      <c r="D6720">
        <v>5400.9</v>
      </c>
    </row>
    <row r="6721" spans="1:4" x14ac:dyDescent="0.25">
      <c r="A6721" t="s">
        <v>630</v>
      </c>
      <c r="B6721" t="s">
        <v>5</v>
      </c>
      <c r="C6721" s="2">
        <f>HYPERLINK("https://svao.dolgi.msk.ru/account/1760089233/", 1760089233)</f>
        <v>1760089233</v>
      </c>
      <c r="D6721">
        <v>36714.239999999998</v>
      </c>
    </row>
    <row r="6722" spans="1:4" x14ac:dyDescent="0.25">
      <c r="A6722" t="s">
        <v>630</v>
      </c>
      <c r="B6722" t="s">
        <v>103</v>
      </c>
      <c r="C6722" s="2">
        <f>HYPERLINK("https://svao.dolgi.msk.ru/account/1760089321/", 1760089321)</f>
        <v>1760089321</v>
      </c>
      <c r="D6722">
        <v>9698.2000000000007</v>
      </c>
    </row>
    <row r="6723" spans="1:4" x14ac:dyDescent="0.25">
      <c r="A6723" t="s">
        <v>630</v>
      </c>
      <c r="B6723" t="s">
        <v>73</v>
      </c>
      <c r="C6723" s="2">
        <f>HYPERLINK("https://svao.dolgi.msk.ru/account/1760089348/", 1760089348)</f>
        <v>1760089348</v>
      </c>
      <c r="D6723">
        <v>3831.22</v>
      </c>
    </row>
    <row r="6724" spans="1:4" x14ac:dyDescent="0.25">
      <c r="A6724" t="s">
        <v>630</v>
      </c>
      <c r="B6724" t="s">
        <v>8</v>
      </c>
      <c r="C6724" s="2">
        <f>HYPERLINK("https://svao.dolgi.msk.ru/account/1760089364/", 1760089364)</f>
        <v>1760089364</v>
      </c>
      <c r="D6724">
        <v>4462.26</v>
      </c>
    </row>
    <row r="6725" spans="1:4" x14ac:dyDescent="0.25">
      <c r="A6725" t="s">
        <v>630</v>
      </c>
      <c r="B6725" t="s">
        <v>8</v>
      </c>
      <c r="C6725" s="2">
        <f>HYPERLINK("https://svao.dolgi.msk.ru/account/1760089372/", 1760089372)</f>
        <v>1760089372</v>
      </c>
      <c r="D6725">
        <v>6020.28</v>
      </c>
    </row>
    <row r="6726" spans="1:4" x14ac:dyDescent="0.25">
      <c r="A6726" t="s">
        <v>630</v>
      </c>
      <c r="B6726" t="s">
        <v>74</v>
      </c>
      <c r="C6726" s="2">
        <f>HYPERLINK("https://svao.dolgi.msk.ru/account/1760089399/", 1760089399)</f>
        <v>1760089399</v>
      </c>
      <c r="D6726">
        <v>8688.58</v>
      </c>
    </row>
    <row r="6727" spans="1:4" x14ac:dyDescent="0.25">
      <c r="A6727" t="s">
        <v>630</v>
      </c>
      <c r="B6727" t="s">
        <v>11</v>
      </c>
      <c r="C6727" s="2">
        <f>HYPERLINK("https://svao.dolgi.msk.ru/account/1760089487/", 1760089487)</f>
        <v>1760089487</v>
      </c>
      <c r="D6727">
        <v>5005.41</v>
      </c>
    </row>
    <row r="6728" spans="1:4" x14ac:dyDescent="0.25">
      <c r="A6728" t="s">
        <v>630</v>
      </c>
      <c r="B6728" t="s">
        <v>106</v>
      </c>
      <c r="C6728" s="2">
        <f>HYPERLINK("https://svao.dolgi.msk.ru/account/1760089524/", 1760089524)</f>
        <v>1760089524</v>
      </c>
      <c r="D6728">
        <v>6485.68</v>
      </c>
    </row>
    <row r="6729" spans="1:4" x14ac:dyDescent="0.25">
      <c r="A6729" t="s">
        <v>630</v>
      </c>
      <c r="B6729" t="s">
        <v>106</v>
      </c>
      <c r="C6729" s="2">
        <f>HYPERLINK("https://svao.dolgi.msk.ru/account/1760089532/", 1760089532)</f>
        <v>1760089532</v>
      </c>
      <c r="D6729">
        <v>3697.48</v>
      </c>
    </row>
    <row r="6730" spans="1:4" x14ac:dyDescent="0.25">
      <c r="A6730" t="s">
        <v>630</v>
      </c>
      <c r="B6730" t="s">
        <v>108</v>
      </c>
      <c r="C6730" s="2">
        <f>HYPERLINK("https://svao.dolgi.msk.ru/account/1760089575/", 1760089575)</f>
        <v>1760089575</v>
      </c>
      <c r="D6730">
        <v>2149.19</v>
      </c>
    </row>
    <row r="6731" spans="1:4" x14ac:dyDescent="0.25">
      <c r="A6731" t="s">
        <v>630</v>
      </c>
      <c r="B6731" t="s">
        <v>17</v>
      </c>
      <c r="C6731" s="2">
        <f>HYPERLINK("https://svao.dolgi.msk.ru/account/1760089591/", 1760089591)</f>
        <v>1760089591</v>
      </c>
      <c r="D6731">
        <v>300</v>
      </c>
    </row>
    <row r="6732" spans="1:4" x14ac:dyDescent="0.25">
      <c r="A6732" t="s">
        <v>630</v>
      </c>
      <c r="B6732" t="s">
        <v>110</v>
      </c>
      <c r="C6732" s="2">
        <f>HYPERLINK("https://svao.dolgi.msk.ru/account/1760089647/", 1760089647)</f>
        <v>1760089647</v>
      </c>
      <c r="D6732">
        <v>6496.21</v>
      </c>
    </row>
    <row r="6733" spans="1:4" x14ac:dyDescent="0.25">
      <c r="A6733" t="s">
        <v>630</v>
      </c>
      <c r="B6733" t="s">
        <v>20</v>
      </c>
      <c r="C6733" s="2">
        <f>HYPERLINK("https://svao.dolgi.msk.ru/account/1760089663/", 1760089663)</f>
        <v>1760089663</v>
      </c>
      <c r="D6733">
        <v>5534.15</v>
      </c>
    </row>
    <row r="6734" spans="1:4" x14ac:dyDescent="0.25">
      <c r="A6734" t="s">
        <v>630</v>
      </c>
      <c r="B6734" t="s">
        <v>112</v>
      </c>
      <c r="C6734" s="2">
        <f>HYPERLINK("https://svao.dolgi.msk.ru/account/1760089743/", 1760089743)</f>
        <v>1760089743</v>
      </c>
      <c r="D6734">
        <v>10879.89</v>
      </c>
    </row>
    <row r="6735" spans="1:4" x14ac:dyDescent="0.25">
      <c r="A6735" t="s">
        <v>630</v>
      </c>
      <c r="B6735" t="s">
        <v>77</v>
      </c>
      <c r="C6735" s="2">
        <f>HYPERLINK("https://svao.dolgi.msk.ru/account/1760089786/", 1760089786)</f>
        <v>1760089786</v>
      </c>
      <c r="D6735">
        <v>3311.34</v>
      </c>
    </row>
    <row r="6736" spans="1:4" x14ac:dyDescent="0.25">
      <c r="A6736" t="s">
        <v>630</v>
      </c>
      <c r="B6736" t="s">
        <v>124</v>
      </c>
      <c r="C6736" s="2">
        <f>HYPERLINK("https://svao.dolgi.msk.ru/account/1760089858/", 1760089858)</f>
        <v>1760089858</v>
      </c>
      <c r="D6736">
        <v>12433.13</v>
      </c>
    </row>
    <row r="6737" spans="1:4" x14ac:dyDescent="0.25">
      <c r="A6737" t="s">
        <v>630</v>
      </c>
      <c r="B6737" t="s">
        <v>24</v>
      </c>
      <c r="C6737" s="2">
        <f>HYPERLINK("https://svao.dolgi.msk.ru/account/1760089903/", 1760089903)</f>
        <v>1760089903</v>
      </c>
      <c r="D6737">
        <v>11017.48</v>
      </c>
    </row>
    <row r="6738" spans="1:4" x14ac:dyDescent="0.25">
      <c r="A6738" t="s">
        <v>630</v>
      </c>
      <c r="B6738" t="s">
        <v>314</v>
      </c>
      <c r="C6738" s="2">
        <f>HYPERLINK("https://svao.dolgi.msk.ru/account/1760089911/", 1760089911)</f>
        <v>1760089911</v>
      </c>
      <c r="D6738">
        <v>7325.7</v>
      </c>
    </row>
    <row r="6739" spans="1:4" x14ac:dyDescent="0.25">
      <c r="A6739" t="s">
        <v>630</v>
      </c>
      <c r="B6739" t="s">
        <v>118</v>
      </c>
      <c r="C6739" s="2">
        <f>HYPERLINK("https://svao.dolgi.msk.ru/account/1760090007/", 1760090007)</f>
        <v>1760090007</v>
      </c>
      <c r="D6739">
        <v>4575.51</v>
      </c>
    </row>
    <row r="6740" spans="1:4" x14ac:dyDescent="0.25">
      <c r="A6740" t="s">
        <v>630</v>
      </c>
      <c r="B6740" t="s">
        <v>127</v>
      </c>
      <c r="C6740" s="2">
        <f>HYPERLINK("https://svao.dolgi.msk.ru/account/1760090015/", 1760090015)</f>
        <v>1760090015</v>
      </c>
      <c r="D6740">
        <v>8801.2000000000007</v>
      </c>
    </row>
    <row r="6741" spans="1:4" x14ac:dyDescent="0.25">
      <c r="A6741" t="s">
        <v>630</v>
      </c>
      <c r="B6741" t="s">
        <v>81</v>
      </c>
      <c r="C6741" s="2">
        <f>HYPERLINK("https://svao.dolgi.msk.ru/account/1760090023/", 1760090023)</f>
        <v>1760090023</v>
      </c>
      <c r="D6741">
        <v>2885.59</v>
      </c>
    </row>
    <row r="6742" spans="1:4" x14ac:dyDescent="0.25">
      <c r="A6742" t="s">
        <v>630</v>
      </c>
      <c r="B6742" t="s">
        <v>120</v>
      </c>
      <c r="C6742" s="2">
        <f>HYPERLINK("https://svao.dolgi.msk.ru/account/1760090058/", 1760090058)</f>
        <v>1760090058</v>
      </c>
      <c r="D6742">
        <v>1045.8900000000001</v>
      </c>
    </row>
    <row r="6743" spans="1:4" x14ac:dyDescent="0.25">
      <c r="A6743" t="s">
        <v>630</v>
      </c>
      <c r="B6743" t="s">
        <v>82</v>
      </c>
      <c r="C6743" s="2">
        <f>HYPERLINK("https://svao.dolgi.msk.ru/account/1760090066/", 1760090066)</f>
        <v>1760090066</v>
      </c>
      <c r="D6743">
        <v>42119.360000000001</v>
      </c>
    </row>
    <row r="6744" spans="1:4" x14ac:dyDescent="0.25">
      <c r="A6744" t="s">
        <v>630</v>
      </c>
      <c r="B6744" t="s">
        <v>26</v>
      </c>
      <c r="C6744" s="2">
        <f>HYPERLINK("https://svao.dolgi.msk.ru/account/1760090146/", 1760090146)</f>
        <v>1760090146</v>
      </c>
      <c r="D6744">
        <v>36136.019999999997</v>
      </c>
    </row>
    <row r="6745" spans="1:4" x14ac:dyDescent="0.25">
      <c r="A6745" t="s">
        <v>630</v>
      </c>
      <c r="B6745" t="s">
        <v>26</v>
      </c>
      <c r="C6745" s="2">
        <f>HYPERLINK("https://svao.dolgi.msk.ru/account/1760090154/", 1760090154)</f>
        <v>1760090154</v>
      </c>
      <c r="D6745">
        <v>12453.1</v>
      </c>
    </row>
    <row r="6746" spans="1:4" x14ac:dyDescent="0.25">
      <c r="A6746" t="s">
        <v>630</v>
      </c>
      <c r="B6746" t="s">
        <v>139</v>
      </c>
      <c r="C6746" s="2">
        <f>HYPERLINK("https://svao.dolgi.msk.ru/account/1760090277/", 1760090277)</f>
        <v>1760090277</v>
      </c>
      <c r="D6746">
        <v>5920.17</v>
      </c>
    </row>
    <row r="6747" spans="1:4" x14ac:dyDescent="0.25">
      <c r="A6747" t="s">
        <v>630</v>
      </c>
      <c r="B6747" t="s">
        <v>28</v>
      </c>
      <c r="C6747" s="2">
        <f>HYPERLINK("https://svao.dolgi.msk.ru/account/1760090285/", 1760090285)</f>
        <v>1760090285</v>
      </c>
      <c r="D6747">
        <v>7786.37</v>
      </c>
    </row>
    <row r="6748" spans="1:4" x14ac:dyDescent="0.25">
      <c r="A6748" t="s">
        <v>630</v>
      </c>
      <c r="B6748" t="s">
        <v>244</v>
      </c>
      <c r="C6748" s="2">
        <f>HYPERLINK("https://svao.dolgi.msk.ru/account/1760090306/", 1760090306)</f>
        <v>1760090306</v>
      </c>
      <c r="D6748">
        <v>6866.26</v>
      </c>
    </row>
    <row r="6749" spans="1:4" x14ac:dyDescent="0.25">
      <c r="A6749" t="s">
        <v>630</v>
      </c>
      <c r="B6749" t="s">
        <v>97</v>
      </c>
      <c r="C6749" s="2">
        <f>HYPERLINK("https://svao.dolgi.msk.ru/account/1760090349/", 1760090349)</f>
        <v>1760090349</v>
      </c>
      <c r="D6749">
        <v>6938.55</v>
      </c>
    </row>
    <row r="6750" spans="1:4" x14ac:dyDescent="0.25">
      <c r="A6750" t="s">
        <v>630</v>
      </c>
      <c r="B6750" t="s">
        <v>84</v>
      </c>
      <c r="C6750" s="2">
        <f>HYPERLINK("https://svao.dolgi.msk.ru/account/1760090357/", 1760090357)</f>
        <v>1760090357</v>
      </c>
      <c r="D6750">
        <v>20967.16</v>
      </c>
    </row>
    <row r="6751" spans="1:4" x14ac:dyDescent="0.25">
      <c r="A6751" t="s">
        <v>630</v>
      </c>
      <c r="B6751" t="s">
        <v>245</v>
      </c>
      <c r="C6751" s="2">
        <f>HYPERLINK("https://svao.dolgi.msk.ru/account/1760090402/", 1760090402)</f>
        <v>1760090402</v>
      </c>
      <c r="D6751">
        <v>2461.19</v>
      </c>
    </row>
    <row r="6752" spans="1:4" x14ac:dyDescent="0.25">
      <c r="A6752" t="s">
        <v>630</v>
      </c>
      <c r="B6752" t="s">
        <v>32</v>
      </c>
      <c r="C6752" s="2">
        <f>HYPERLINK("https://svao.dolgi.msk.ru/account/1760090445/", 1760090445)</f>
        <v>1760090445</v>
      </c>
      <c r="D6752">
        <v>796.71</v>
      </c>
    </row>
    <row r="6753" spans="1:4" x14ac:dyDescent="0.25">
      <c r="A6753" t="s">
        <v>630</v>
      </c>
      <c r="B6753" t="s">
        <v>85</v>
      </c>
      <c r="C6753" s="2">
        <f>HYPERLINK("https://svao.dolgi.msk.ru/account/1760090453/", 1760090453)</f>
        <v>1760090453</v>
      </c>
      <c r="D6753">
        <v>4730.75</v>
      </c>
    </row>
    <row r="6754" spans="1:4" x14ac:dyDescent="0.25">
      <c r="A6754" t="s">
        <v>630</v>
      </c>
      <c r="B6754" t="s">
        <v>33</v>
      </c>
      <c r="C6754" s="2">
        <f>HYPERLINK("https://svao.dolgi.msk.ru/account/1760090461/", 1760090461)</f>
        <v>1760090461</v>
      </c>
      <c r="D6754">
        <v>341.06</v>
      </c>
    </row>
    <row r="6755" spans="1:4" x14ac:dyDescent="0.25">
      <c r="A6755" t="s">
        <v>630</v>
      </c>
      <c r="B6755" t="s">
        <v>37</v>
      </c>
      <c r="C6755" s="2">
        <f>HYPERLINK("https://svao.dolgi.msk.ru/account/1760090605/", 1760090605)</f>
        <v>1760090605</v>
      </c>
      <c r="D6755">
        <v>17435.57</v>
      </c>
    </row>
    <row r="6756" spans="1:4" x14ac:dyDescent="0.25">
      <c r="A6756" t="s">
        <v>630</v>
      </c>
      <c r="B6756" t="s">
        <v>38</v>
      </c>
      <c r="C6756" s="2">
        <f>HYPERLINK("https://svao.dolgi.msk.ru/account/1760090613/", 1760090613)</f>
        <v>1760090613</v>
      </c>
      <c r="D6756">
        <v>3959.85</v>
      </c>
    </row>
    <row r="6757" spans="1:4" x14ac:dyDescent="0.25">
      <c r="A6757" t="s">
        <v>630</v>
      </c>
      <c r="B6757" t="s">
        <v>143</v>
      </c>
      <c r="C6757" s="2">
        <f>HYPERLINK("https://svao.dolgi.msk.ru/account/1760090744/", 1760090744)</f>
        <v>1760090744</v>
      </c>
      <c r="D6757">
        <v>5463.18</v>
      </c>
    </row>
    <row r="6758" spans="1:4" x14ac:dyDescent="0.25">
      <c r="A6758" t="s">
        <v>630</v>
      </c>
      <c r="B6758" t="s">
        <v>45</v>
      </c>
      <c r="C6758" s="2">
        <f>HYPERLINK("https://svao.dolgi.msk.ru/account/1760090752/", 1760090752)</f>
        <v>1760090752</v>
      </c>
      <c r="D6758">
        <v>6367.79</v>
      </c>
    </row>
    <row r="6759" spans="1:4" x14ac:dyDescent="0.25">
      <c r="A6759" t="s">
        <v>630</v>
      </c>
      <c r="B6759" t="s">
        <v>301</v>
      </c>
      <c r="C6759" s="2">
        <f>HYPERLINK("https://svao.dolgi.msk.ru/account/1760090795/", 1760090795)</f>
        <v>1760090795</v>
      </c>
      <c r="D6759">
        <v>9421.43</v>
      </c>
    </row>
    <row r="6760" spans="1:4" x14ac:dyDescent="0.25">
      <c r="A6760" t="s">
        <v>630</v>
      </c>
      <c r="B6760" t="s">
        <v>46</v>
      </c>
      <c r="C6760" s="2">
        <f>HYPERLINK("https://svao.dolgi.msk.ru/account/1760090816/", 1760090816)</f>
        <v>1760090816</v>
      </c>
      <c r="D6760">
        <v>5422.69</v>
      </c>
    </row>
    <row r="6761" spans="1:4" x14ac:dyDescent="0.25">
      <c r="A6761" t="s">
        <v>630</v>
      </c>
      <c r="B6761" t="s">
        <v>249</v>
      </c>
      <c r="C6761" s="2">
        <f>HYPERLINK("https://svao.dolgi.msk.ru/account/1760090832/", 1760090832)</f>
        <v>1760090832</v>
      </c>
      <c r="D6761">
        <v>4679.67</v>
      </c>
    </row>
    <row r="6762" spans="1:4" x14ac:dyDescent="0.25">
      <c r="A6762" t="s">
        <v>630</v>
      </c>
      <c r="B6762" t="s">
        <v>250</v>
      </c>
      <c r="C6762" s="2">
        <f>HYPERLINK("https://svao.dolgi.msk.ru/account/1760090875/", 1760090875)</f>
        <v>1760090875</v>
      </c>
      <c r="D6762">
        <v>17131.46</v>
      </c>
    </row>
    <row r="6763" spans="1:4" x14ac:dyDescent="0.25">
      <c r="A6763" t="s">
        <v>630</v>
      </c>
      <c r="B6763" t="s">
        <v>306</v>
      </c>
      <c r="C6763" s="2">
        <f>HYPERLINK("https://svao.dolgi.msk.ru/account/1760090963/", 1760090963)</f>
        <v>1760090963</v>
      </c>
      <c r="D6763">
        <v>4583.5</v>
      </c>
    </row>
    <row r="6764" spans="1:4" x14ac:dyDescent="0.25">
      <c r="A6764" t="s">
        <v>630</v>
      </c>
      <c r="B6764" t="s">
        <v>51</v>
      </c>
      <c r="C6764" s="2">
        <f>HYPERLINK("https://svao.dolgi.msk.ru/account/1760090998/", 1760090998)</f>
        <v>1760090998</v>
      </c>
      <c r="D6764">
        <v>2360.09</v>
      </c>
    </row>
    <row r="6765" spans="1:4" x14ac:dyDescent="0.25">
      <c r="A6765" t="s">
        <v>630</v>
      </c>
      <c r="B6765" t="s">
        <v>52</v>
      </c>
      <c r="C6765" s="2">
        <f>HYPERLINK("https://svao.dolgi.msk.ru/account/1760091042/", 1760091042)</f>
        <v>1760091042</v>
      </c>
      <c r="D6765">
        <v>7191.33</v>
      </c>
    </row>
    <row r="6766" spans="1:4" x14ac:dyDescent="0.25">
      <c r="A6766" t="s">
        <v>630</v>
      </c>
      <c r="B6766" t="s">
        <v>148</v>
      </c>
      <c r="C6766" s="2">
        <f>HYPERLINK("https://svao.dolgi.msk.ru/account/1760091077/", 1760091077)</f>
        <v>1760091077</v>
      </c>
      <c r="D6766">
        <v>7623.99</v>
      </c>
    </row>
    <row r="6767" spans="1:4" x14ac:dyDescent="0.25">
      <c r="A6767" t="s">
        <v>630</v>
      </c>
      <c r="B6767" t="s">
        <v>295</v>
      </c>
      <c r="C6767" s="2">
        <f>HYPERLINK("https://svao.dolgi.msk.ru/account/1760091085/", 1760091085)</f>
        <v>1760091085</v>
      </c>
      <c r="D6767">
        <v>215141.99</v>
      </c>
    </row>
    <row r="6768" spans="1:4" x14ac:dyDescent="0.25">
      <c r="A6768" t="s">
        <v>630</v>
      </c>
      <c r="B6768" t="s">
        <v>318</v>
      </c>
      <c r="C6768" s="2">
        <f>HYPERLINK("https://svao.dolgi.msk.ru/account/1760091261/", 1760091261)</f>
        <v>1760091261</v>
      </c>
      <c r="D6768">
        <v>22512.61</v>
      </c>
    </row>
    <row r="6769" spans="1:4" x14ac:dyDescent="0.25">
      <c r="A6769" t="s">
        <v>630</v>
      </c>
      <c r="B6769" t="s">
        <v>55</v>
      </c>
      <c r="C6769" s="2">
        <f>HYPERLINK("https://svao.dolgi.msk.ru/account/1760091296/", 1760091296)</f>
        <v>1760091296</v>
      </c>
      <c r="D6769">
        <v>2420.5</v>
      </c>
    </row>
    <row r="6770" spans="1:4" x14ac:dyDescent="0.25">
      <c r="A6770" t="s">
        <v>630</v>
      </c>
      <c r="B6770" t="s">
        <v>298</v>
      </c>
      <c r="C6770" s="2">
        <f>HYPERLINK("https://svao.dolgi.msk.ru/account/1760091317/", 1760091317)</f>
        <v>1760091317</v>
      </c>
      <c r="D6770">
        <v>7160.61</v>
      </c>
    </row>
    <row r="6771" spans="1:4" x14ac:dyDescent="0.25">
      <c r="A6771" t="s">
        <v>630</v>
      </c>
      <c r="B6771" t="s">
        <v>154</v>
      </c>
      <c r="C6771" s="2">
        <f>HYPERLINK("https://svao.dolgi.msk.ru/account/1760091368/", 1760091368)</f>
        <v>1760091368</v>
      </c>
      <c r="D6771">
        <v>964.84</v>
      </c>
    </row>
    <row r="6772" spans="1:4" x14ac:dyDescent="0.25">
      <c r="A6772" t="s">
        <v>630</v>
      </c>
      <c r="B6772" t="s">
        <v>157</v>
      </c>
      <c r="C6772" s="2">
        <f>HYPERLINK("https://svao.dolgi.msk.ru/account/1760091421/", 1760091421)</f>
        <v>1760091421</v>
      </c>
      <c r="D6772">
        <v>392.9</v>
      </c>
    </row>
    <row r="6773" spans="1:4" x14ac:dyDescent="0.25">
      <c r="A6773" t="s">
        <v>630</v>
      </c>
      <c r="B6773" t="s">
        <v>341</v>
      </c>
      <c r="C6773" s="2">
        <f>HYPERLINK("https://svao.dolgi.msk.ru/account/1760091464/", 1760091464)</f>
        <v>1760091464</v>
      </c>
      <c r="D6773">
        <v>4765.76</v>
      </c>
    </row>
    <row r="6774" spans="1:4" x14ac:dyDescent="0.25">
      <c r="A6774" t="s">
        <v>630</v>
      </c>
      <c r="B6774" t="s">
        <v>60</v>
      </c>
      <c r="C6774" s="2">
        <f>HYPERLINK("https://svao.dolgi.msk.ru/account/1760091587/", 1760091587)</f>
        <v>1760091587</v>
      </c>
      <c r="D6774">
        <v>12145.88</v>
      </c>
    </row>
    <row r="6775" spans="1:4" x14ac:dyDescent="0.25">
      <c r="A6775" t="s">
        <v>630</v>
      </c>
      <c r="B6775" t="s">
        <v>61</v>
      </c>
      <c r="C6775" s="2">
        <f>HYPERLINK("https://svao.dolgi.msk.ru/account/1760091624/", 1760091624)</f>
        <v>1760091624</v>
      </c>
      <c r="D6775">
        <v>89188.21</v>
      </c>
    </row>
    <row r="6776" spans="1:4" x14ac:dyDescent="0.25">
      <c r="A6776" t="s">
        <v>630</v>
      </c>
      <c r="B6776" t="s">
        <v>257</v>
      </c>
      <c r="C6776" s="2">
        <f>HYPERLINK("https://svao.dolgi.msk.ru/account/1760091683/", 1760091683)</f>
        <v>1760091683</v>
      </c>
      <c r="D6776">
        <v>10890.04</v>
      </c>
    </row>
    <row r="6777" spans="1:4" x14ac:dyDescent="0.25">
      <c r="A6777" t="s">
        <v>630</v>
      </c>
      <c r="B6777" t="s">
        <v>63</v>
      </c>
      <c r="C6777" s="2">
        <f>HYPERLINK("https://svao.dolgi.msk.ru/account/1760091691/", 1760091691)</f>
        <v>1760091691</v>
      </c>
      <c r="D6777">
        <v>7956.5</v>
      </c>
    </row>
    <row r="6778" spans="1:4" x14ac:dyDescent="0.25">
      <c r="A6778" t="s">
        <v>630</v>
      </c>
      <c r="B6778" t="s">
        <v>64</v>
      </c>
      <c r="C6778" s="2">
        <f>HYPERLINK("https://svao.dolgi.msk.ru/account/1760091739/", 1760091739)</f>
        <v>1760091739</v>
      </c>
      <c r="D6778">
        <v>20764.62</v>
      </c>
    </row>
    <row r="6779" spans="1:4" x14ac:dyDescent="0.25">
      <c r="A6779" t="s">
        <v>630</v>
      </c>
      <c r="B6779" t="s">
        <v>67</v>
      </c>
      <c r="C6779" s="2">
        <f>HYPERLINK("https://svao.dolgi.msk.ru/account/1760091819/", 1760091819)</f>
        <v>1760091819</v>
      </c>
      <c r="D6779">
        <v>39472.69</v>
      </c>
    </row>
    <row r="6780" spans="1:4" x14ac:dyDescent="0.25">
      <c r="A6780" t="s">
        <v>630</v>
      </c>
      <c r="B6780" t="s">
        <v>379</v>
      </c>
      <c r="C6780" s="2">
        <f>HYPERLINK("https://svao.dolgi.msk.ru/account/1760091827/", 1760091827)</f>
        <v>1760091827</v>
      </c>
      <c r="D6780">
        <v>5838.45</v>
      </c>
    </row>
    <row r="6781" spans="1:4" x14ac:dyDescent="0.25">
      <c r="A6781" t="s">
        <v>630</v>
      </c>
      <c r="B6781" t="s">
        <v>439</v>
      </c>
      <c r="C6781" s="2">
        <f>HYPERLINK("https://svao.dolgi.msk.ru/account/1760091843/", 1760091843)</f>
        <v>1760091843</v>
      </c>
      <c r="D6781">
        <v>15597.32</v>
      </c>
    </row>
    <row r="6782" spans="1:4" x14ac:dyDescent="0.25">
      <c r="A6782" t="s">
        <v>630</v>
      </c>
      <c r="B6782" t="s">
        <v>162</v>
      </c>
      <c r="C6782" s="2">
        <f>HYPERLINK("https://svao.dolgi.msk.ru/account/1760091878/", 1760091878)</f>
        <v>1760091878</v>
      </c>
      <c r="D6782">
        <v>8321.77</v>
      </c>
    </row>
    <row r="6783" spans="1:4" x14ac:dyDescent="0.25">
      <c r="A6783" t="s">
        <v>630</v>
      </c>
      <c r="B6783" t="s">
        <v>163</v>
      </c>
      <c r="C6783" s="2">
        <f>HYPERLINK("https://svao.dolgi.msk.ru/account/1760091886/", 1760091886)</f>
        <v>1760091886</v>
      </c>
      <c r="D6783">
        <v>5229.17</v>
      </c>
    </row>
    <row r="6784" spans="1:4" x14ac:dyDescent="0.25">
      <c r="A6784" t="s">
        <v>630</v>
      </c>
      <c r="B6784" t="s">
        <v>68</v>
      </c>
      <c r="C6784" s="2">
        <f>HYPERLINK("https://svao.dolgi.msk.ru/account/1760091894/", 1760091894)</f>
        <v>1760091894</v>
      </c>
      <c r="D6784">
        <v>14682.73</v>
      </c>
    </row>
    <row r="6785" spans="1:4" x14ac:dyDescent="0.25">
      <c r="A6785" t="s">
        <v>630</v>
      </c>
      <c r="B6785" t="s">
        <v>631</v>
      </c>
      <c r="C6785" s="2">
        <f>HYPERLINK("https://svao.dolgi.msk.ru/account/1760091958/", 1760091958)</f>
        <v>1760091958</v>
      </c>
      <c r="D6785">
        <v>577.71</v>
      </c>
    </row>
    <row r="6786" spans="1:4" x14ac:dyDescent="0.25">
      <c r="A6786" t="s">
        <v>630</v>
      </c>
      <c r="B6786" t="s">
        <v>70</v>
      </c>
      <c r="C6786" s="2">
        <f>HYPERLINK("https://svao.dolgi.msk.ru/account/1760091966/", 1760091966)</f>
        <v>1760091966</v>
      </c>
      <c r="D6786">
        <v>291.92</v>
      </c>
    </row>
    <row r="6787" spans="1:4" x14ac:dyDescent="0.25">
      <c r="A6787" t="s">
        <v>630</v>
      </c>
      <c r="B6787" t="s">
        <v>417</v>
      </c>
      <c r="C6787" s="2">
        <f>HYPERLINK("https://svao.dolgi.msk.ru/account/1760092096/", 1760092096)</f>
        <v>1760092096</v>
      </c>
      <c r="D6787">
        <v>4356.1400000000003</v>
      </c>
    </row>
    <row r="6788" spans="1:4" x14ac:dyDescent="0.25">
      <c r="A6788" t="s">
        <v>630</v>
      </c>
      <c r="B6788" t="s">
        <v>169</v>
      </c>
      <c r="C6788" s="2">
        <f>HYPERLINK("https://svao.dolgi.msk.ru/account/1760092133/", 1760092133)</f>
        <v>1760092133</v>
      </c>
      <c r="D6788">
        <v>52041.57</v>
      </c>
    </row>
    <row r="6789" spans="1:4" x14ac:dyDescent="0.25">
      <c r="A6789" t="s">
        <v>630</v>
      </c>
      <c r="B6789" t="s">
        <v>170</v>
      </c>
      <c r="C6789" s="2">
        <f>HYPERLINK("https://svao.dolgi.msk.ru/account/1760092176/", 1760092176)</f>
        <v>1760092176</v>
      </c>
      <c r="D6789">
        <v>350.62</v>
      </c>
    </row>
    <row r="6790" spans="1:4" x14ac:dyDescent="0.25">
      <c r="A6790" t="s">
        <v>630</v>
      </c>
      <c r="B6790" t="s">
        <v>263</v>
      </c>
      <c r="C6790" s="2">
        <f>HYPERLINK("https://svao.dolgi.msk.ru/account/1760092184/", 1760092184)</f>
        <v>1760092184</v>
      </c>
      <c r="D6790">
        <v>6163.96</v>
      </c>
    </row>
    <row r="6791" spans="1:4" x14ac:dyDescent="0.25">
      <c r="A6791" t="s">
        <v>630</v>
      </c>
      <c r="B6791" t="s">
        <v>264</v>
      </c>
      <c r="C6791" s="2">
        <f>HYPERLINK("https://svao.dolgi.msk.ru/account/1760092192/", 1760092192)</f>
        <v>1760092192</v>
      </c>
      <c r="D6791">
        <v>16252.09</v>
      </c>
    </row>
    <row r="6792" spans="1:4" x14ac:dyDescent="0.25">
      <c r="A6792" t="s">
        <v>630</v>
      </c>
      <c r="B6792" t="s">
        <v>171</v>
      </c>
      <c r="C6792" s="2">
        <f>HYPERLINK("https://svao.dolgi.msk.ru/account/1760092213/", 1760092213)</f>
        <v>1760092213</v>
      </c>
      <c r="D6792">
        <v>15369.71</v>
      </c>
    </row>
    <row r="6793" spans="1:4" x14ac:dyDescent="0.25">
      <c r="A6793" t="s">
        <v>630</v>
      </c>
      <c r="B6793" t="s">
        <v>265</v>
      </c>
      <c r="C6793" s="2">
        <f>HYPERLINK("https://svao.dolgi.msk.ru/account/1760092248/", 1760092248)</f>
        <v>1760092248</v>
      </c>
      <c r="D6793">
        <v>8333.32</v>
      </c>
    </row>
    <row r="6794" spans="1:4" x14ac:dyDescent="0.25">
      <c r="A6794" t="s">
        <v>630</v>
      </c>
      <c r="B6794" t="s">
        <v>266</v>
      </c>
      <c r="C6794" s="2">
        <f>HYPERLINK("https://svao.dolgi.msk.ru/account/1760092299/", 1760092299)</f>
        <v>1760092299</v>
      </c>
      <c r="D6794">
        <v>40363.07</v>
      </c>
    </row>
    <row r="6795" spans="1:4" x14ac:dyDescent="0.25">
      <c r="A6795" t="s">
        <v>630</v>
      </c>
      <c r="B6795" t="s">
        <v>479</v>
      </c>
      <c r="C6795" s="2">
        <f>HYPERLINK("https://svao.dolgi.msk.ru/account/1760092336/", 1760092336)</f>
        <v>1760092336</v>
      </c>
      <c r="D6795">
        <v>8948.23</v>
      </c>
    </row>
    <row r="6796" spans="1:4" x14ac:dyDescent="0.25">
      <c r="A6796" t="s">
        <v>630</v>
      </c>
      <c r="B6796" t="s">
        <v>351</v>
      </c>
      <c r="C6796" s="2">
        <f>HYPERLINK("https://svao.dolgi.msk.ru/account/1760092352/", 1760092352)</f>
        <v>1760092352</v>
      </c>
      <c r="D6796">
        <v>9920.41</v>
      </c>
    </row>
    <row r="6797" spans="1:4" x14ac:dyDescent="0.25">
      <c r="A6797" t="s">
        <v>630</v>
      </c>
      <c r="B6797" t="s">
        <v>353</v>
      </c>
      <c r="C6797" s="2">
        <f>HYPERLINK("https://svao.dolgi.msk.ru/account/1760092416/", 1760092416)</f>
        <v>1760092416</v>
      </c>
      <c r="D6797">
        <v>5582.25</v>
      </c>
    </row>
    <row r="6798" spans="1:4" x14ac:dyDescent="0.25">
      <c r="A6798" t="s">
        <v>630</v>
      </c>
      <c r="B6798" t="s">
        <v>267</v>
      </c>
      <c r="C6798" s="2">
        <f>HYPERLINK("https://svao.dolgi.msk.ru/account/1760092424/", 1760092424)</f>
        <v>1760092424</v>
      </c>
      <c r="D6798">
        <v>6893.59</v>
      </c>
    </row>
    <row r="6799" spans="1:4" x14ac:dyDescent="0.25">
      <c r="A6799" t="s">
        <v>630</v>
      </c>
      <c r="B6799" t="s">
        <v>534</v>
      </c>
      <c r="C6799" s="2">
        <f>HYPERLINK("https://svao.dolgi.msk.ru/account/1760092539/", 1760092539)</f>
        <v>1760092539</v>
      </c>
      <c r="D6799">
        <v>6925.17</v>
      </c>
    </row>
    <row r="6800" spans="1:4" x14ac:dyDescent="0.25">
      <c r="A6800" t="s">
        <v>630</v>
      </c>
      <c r="B6800" t="s">
        <v>270</v>
      </c>
      <c r="C6800" s="2">
        <f>HYPERLINK("https://svao.dolgi.msk.ru/account/1760092555/", 1760092555)</f>
        <v>1760092555</v>
      </c>
      <c r="D6800">
        <v>3112.63</v>
      </c>
    </row>
    <row r="6801" spans="1:4" x14ac:dyDescent="0.25">
      <c r="A6801" t="s">
        <v>630</v>
      </c>
      <c r="B6801" t="s">
        <v>271</v>
      </c>
      <c r="C6801" s="2">
        <f>HYPERLINK("https://svao.dolgi.msk.ru/account/1760092571/", 1760092571)</f>
        <v>1760092571</v>
      </c>
      <c r="D6801">
        <v>163.37</v>
      </c>
    </row>
    <row r="6802" spans="1:4" x14ac:dyDescent="0.25">
      <c r="A6802" t="s">
        <v>630</v>
      </c>
      <c r="B6802" t="s">
        <v>632</v>
      </c>
      <c r="C6802" s="2">
        <f>HYPERLINK("https://svao.dolgi.msk.ru/account/1761820104/", 1761820104)</f>
        <v>1761820104</v>
      </c>
      <c r="D6802">
        <v>33840.18</v>
      </c>
    </row>
    <row r="6803" spans="1:4" x14ac:dyDescent="0.25">
      <c r="A6803" t="s">
        <v>630</v>
      </c>
      <c r="B6803" t="s">
        <v>179</v>
      </c>
      <c r="C6803" s="2">
        <f>HYPERLINK("https://svao.dolgi.msk.ru/account/1760092635/", 1760092635)</f>
        <v>1760092635</v>
      </c>
      <c r="D6803">
        <v>280900.38</v>
      </c>
    </row>
    <row r="6804" spans="1:4" x14ac:dyDescent="0.25">
      <c r="A6804" t="s">
        <v>630</v>
      </c>
      <c r="B6804" t="s">
        <v>180</v>
      </c>
      <c r="C6804" s="2">
        <f>HYPERLINK("https://svao.dolgi.msk.ru/account/1760092643/", 1760092643)</f>
        <v>1760092643</v>
      </c>
      <c r="D6804">
        <v>49445.65</v>
      </c>
    </row>
    <row r="6805" spans="1:4" x14ac:dyDescent="0.25">
      <c r="A6805" t="s">
        <v>630</v>
      </c>
      <c r="B6805" t="s">
        <v>488</v>
      </c>
      <c r="C6805" s="2">
        <f>HYPERLINK("https://svao.dolgi.msk.ru/account/1760092651/", 1760092651)</f>
        <v>1760092651</v>
      </c>
      <c r="D6805">
        <v>6024.49</v>
      </c>
    </row>
    <row r="6806" spans="1:4" x14ac:dyDescent="0.25">
      <c r="A6806" t="s">
        <v>630</v>
      </c>
      <c r="B6806" t="s">
        <v>273</v>
      </c>
      <c r="C6806" s="2">
        <f>HYPERLINK("https://svao.dolgi.msk.ru/account/1760092678/", 1760092678)</f>
        <v>1760092678</v>
      </c>
      <c r="D6806">
        <v>39842.300000000003</v>
      </c>
    </row>
    <row r="6807" spans="1:4" x14ac:dyDescent="0.25">
      <c r="A6807" t="s">
        <v>633</v>
      </c>
      <c r="B6807" t="s">
        <v>141</v>
      </c>
      <c r="C6807" s="2">
        <f>HYPERLINK("https://svao.dolgi.msk.ru/account/1760062639/", 1760062639)</f>
        <v>1760062639</v>
      </c>
      <c r="D6807">
        <v>1596.05</v>
      </c>
    </row>
    <row r="6808" spans="1:4" x14ac:dyDescent="0.25">
      <c r="A6808" t="s">
        <v>633</v>
      </c>
      <c r="B6808" t="s">
        <v>103</v>
      </c>
      <c r="C6808" s="2">
        <f>HYPERLINK("https://svao.dolgi.msk.ru/account/1760062655/", 1760062655)</f>
        <v>1760062655</v>
      </c>
      <c r="D6808">
        <v>13267.16</v>
      </c>
    </row>
    <row r="6809" spans="1:4" x14ac:dyDescent="0.25">
      <c r="A6809" t="s">
        <v>633</v>
      </c>
      <c r="B6809" t="s">
        <v>8</v>
      </c>
      <c r="C6809" s="2">
        <f>HYPERLINK("https://svao.dolgi.msk.ru/account/1760062698/", 1760062698)</f>
        <v>1760062698</v>
      </c>
      <c r="D6809">
        <v>8446.86</v>
      </c>
    </row>
    <row r="6810" spans="1:4" x14ac:dyDescent="0.25">
      <c r="A6810" t="s">
        <v>633</v>
      </c>
      <c r="B6810" t="s">
        <v>75</v>
      </c>
      <c r="C6810" s="2">
        <f>HYPERLINK("https://svao.dolgi.msk.ru/account/1760062743/", 1760062743)</f>
        <v>1760062743</v>
      </c>
      <c r="D6810">
        <v>4159.16</v>
      </c>
    </row>
    <row r="6811" spans="1:4" x14ac:dyDescent="0.25">
      <c r="A6811" t="s">
        <v>633</v>
      </c>
      <c r="B6811" t="s">
        <v>10</v>
      </c>
      <c r="C6811" s="2">
        <f>HYPERLINK("https://svao.dolgi.msk.ru/account/1760062778/", 1760062778)</f>
        <v>1760062778</v>
      </c>
      <c r="D6811">
        <v>5827.23</v>
      </c>
    </row>
    <row r="6812" spans="1:4" x14ac:dyDescent="0.25">
      <c r="A6812" t="s">
        <v>633</v>
      </c>
      <c r="B6812" t="s">
        <v>13</v>
      </c>
      <c r="C6812" s="2">
        <f>HYPERLINK("https://svao.dolgi.msk.ru/account/1760062815/", 1760062815)</f>
        <v>1760062815</v>
      </c>
      <c r="D6812">
        <v>4595.5</v>
      </c>
    </row>
    <row r="6813" spans="1:4" x14ac:dyDescent="0.25">
      <c r="A6813" t="s">
        <v>633</v>
      </c>
      <c r="B6813" t="s">
        <v>106</v>
      </c>
      <c r="C6813" s="2">
        <f>HYPERLINK("https://svao.dolgi.msk.ru/account/1760062831/", 1760062831)</f>
        <v>1760062831</v>
      </c>
      <c r="D6813">
        <v>6638.43</v>
      </c>
    </row>
    <row r="6814" spans="1:4" x14ac:dyDescent="0.25">
      <c r="A6814" t="s">
        <v>633</v>
      </c>
      <c r="B6814" t="s">
        <v>110</v>
      </c>
      <c r="C6814" s="2">
        <f>HYPERLINK("https://svao.dolgi.msk.ru/account/1760062954/", 1760062954)</f>
        <v>1760062954</v>
      </c>
      <c r="D6814">
        <v>8624.2099999999991</v>
      </c>
    </row>
    <row r="6815" spans="1:4" x14ac:dyDescent="0.25">
      <c r="A6815" t="s">
        <v>633</v>
      </c>
      <c r="B6815" t="s">
        <v>76</v>
      </c>
      <c r="C6815" s="2">
        <f>HYPERLINK("https://svao.dolgi.msk.ru/account/1760062989/", 1760062989)</f>
        <v>1760062989</v>
      </c>
      <c r="D6815">
        <v>5389.02</v>
      </c>
    </row>
    <row r="6816" spans="1:4" x14ac:dyDescent="0.25">
      <c r="A6816" t="s">
        <v>633</v>
      </c>
      <c r="B6816" t="s">
        <v>23</v>
      </c>
      <c r="C6816" s="2">
        <f>HYPERLINK("https://svao.dolgi.msk.ru/account/1760063156/", 1760063156)</f>
        <v>1760063156</v>
      </c>
      <c r="D6816">
        <v>6103.99</v>
      </c>
    </row>
    <row r="6817" spans="1:4" x14ac:dyDescent="0.25">
      <c r="A6817" t="s">
        <v>633</v>
      </c>
      <c r="B6817" t="s">
        <v>314</v>
      </c>
      <c r="C6817" s="2">
        <f>HYPERLINK("https://svao.dolgi.msk.ru/account/1760063252/", 1760063252)</f>
        <v>1760063252</v>
      </c>
      <c r="D6817">
        <v>4585.95</v>
      </c>
    </row>
    <row r="6818" spans="1:4" x14ac:dyDescent="0.25">
      <c r="A6818" t="s">
        <v>633</v>
      </c>
      <c r="B6818" t="s">
        <v>118</v>
      </c>
      <c r="C6818" s="2">
        <f>HYPERLINK("https://svao.dolgi.msk.ru/account/1760063367/", 1760063367)</f>
        <v>1760063367</v>
      </c>
      <c r="D6818">
        <v>6083.81</v>
      </c>
    </row>
    <row r="6819" spans="1:4" x14ac:dyDescent="0.25">
      <c r="A6819" t="s">
        <v>633</v>
      </c>
      <c r="B6819" t="s">
        <v>132</v>
      </c>
      <c r="C6819" s="2">
        <f>HYPERLINK("https://svao.dolgi.msk.ru/account/1760063463/", 1760063463)</f>
        <v>1760063463</v>
      </c>
      <c r="D6819">
        <v>2673.04</v>
      </c>
    </row>
    <row r="6820" spans="1:4" x14ac:dyDescent="0.25">
      <c r="A6820" t="s">
        <v>633</v>
      </c>
      <c r="B6820" t="s">
        <v>133</v>
      </c>
      <c r="C6820" s="2">
        <f>HYPERLINK("https://svao.dolgi.msk.ru/account/1760063519/", 1760063519)</f>
        <v>1760063519</v>
      </c>
      <c r="D6820">
        <v>870.29</v>
      </c>
    </row>
    <row r="6821" spans="1:4" x14ac:dyDescent="0.25">
      <c r="A6821" t="s">
        <v>633</v>
      </c>
      <c r="B6821" t="s">
        <v>290</v>
      </c>
      <c r="C6821" s="2">
        <f>HYPERLINK("https://svao.dolgi.msk.ru/account/1760063543/", 1760063543)</f>
        <v>1760063543</v>
      </c>
      <c r="D6821">
        <v>19828.580000000002</v>
      </c>
    </row>
    <row r="6822" spans="1:4" x14ac:dyDescent="0.25">
      <c r="A6822" t="s">
        <v>633</v>
      </c>
      <c r="B6822" t="s">
        <v>243</v>
      </c>
      <c r="C6822" s="2">
        <f>HYPERLINK("https://svao.dolgi.msk.ru/account/1760063551/", 1760063551)</f>
        <v>1760063551</v>
      </c>
      <c r="D6822">
        <v>8969</v>
      </c>
    </row>
    <row r="6823" spans="1:4" x14ac:dyDescent="0.25">
      <c r="A6823" t="s">
        <v>633</v>
      </c>
      <c r="B6823" t="s">
        <v>139</v>
      </c>
      <c r="C6823" s="2">
        <f>HYPERLINK("https://svao.dolgi.msk.ru/account/1760063607/", 1760063607)</f>
        <v>1760063607</v>
      </c>
      <c r="D6823">
        <v>5305.82</v>
      </c>
    </row>
    <row r="6824" spans="1:4" x14ac:dyDescent="0.25">
      <c r="A6824" t="s">
        <v>633</v>
      </c>
      <c r="B6824" t="s">
        <v>29</v>
      </c>
      <c r="C6824" s="2">
        <f>HYPERLINK("https://svao.dolgi.msk.ru/account/1760063631/", 1760063631)</f>
        <v>1760063631</v>
      </c>
      <c r="D6824">
        <v>8859.06</v>
      </c>
    </row>
    <row r="6825" spans="1:4" x14ac:dyDescent="0.25">
      <c r="A6825" t="s">
        <v>633</v>
      </c>
      <c r="B6825" t="s">
        <v>35</v>
      </c>
      <c r="C6825" s="2">
        <f>HYPERLINK("https://svao.dolgi.msk.ru/account/1760063826/", 1760063826)</f>
        <v>1760063826</v>
      </c>
      <c r="D6825">
        <v>7817.96</v>
      </c>
    </row>
    <row r="6826" spans="1:4" x14ac:dyDescent="0.25">
      <c r="A6826" t="s">
        <v>633</v>
      </c>
      <c r="B6826" t="s">
        <v>99</v>
      </c>
      <c r="C6826" s="2">
        <f>HYPERLINK("https://svao.dolgi.msk.ru/account/1760063834/", 1760063834)</f>
        <v>1760063834</v>
      </c>
      <c r="D6826">
        <v>3897.4</v>
      </c>
    </row>
    <row r="6827" spans="1:4" x14ac:dyDescent="0.25">
      <c r="A6827" t="s">
        <v>633</v>
      </c>
      <c r="B6827" t="s">
        <v>36</v>
      </c>
      <c r="C6827" s="2">
        <f>HYPERLINK("https://svao.dolgi.msk.ru/account/1760063893/", 1760063893)</f>
        <v>1760063893</v>
      </c>
      <c r="D6827">
        <v>7882.57</v>
      </c>
    </row>
    <row r="6828" spans="1:4" x14ac:dyDescent="0.25">
      <c r="A6828" t="s">
        <v>633</v>
      </c>
      <c r="B6828" t="s">
        <v>88</v>
      </c>
      <c r="C6828" s="2">
        <f>HYPERLINK("https://svao.dolgi.msk.ru/account/1760063906/", 1760063906)</f>
        <v>1760063906</v>
      </c>
      <c r="D6828">
        <v>22563.59</v>
      </c>
    </row>
    <row r="6829" spans="1:4" x14ac:dyDescent="0.25">
      <c r="A6829" t="s">
        <v>633</v>
      </c>
      <c r="B6829" t="s">
        <v>140</v>
      </c>
      <c r="C6829" s="2">
        <f>HYPERLINK("https://svao.dolgi.msk.ru/account/1760064001/", 1760064001)</f>
        <v>1760064001</v>
      </c>
      <c r="D6829">
        <v>5951.23</v>
      </c>
    </row>
    <row r="6830" spans="1:4" x14ac:dyDescent="0.25">
      <c r="A6830" t="s">
        <v>633</v>
      </c>
      <c r="B6830" t="s">
        <v>89</v>
      </c>
      <c r="C6830" s="2">
        <f>HYPERLINK("https://svao.dolgi.msk.ru/account/1760064036/", 1760064036)</f>
        <v>1760064036</v>
      </c>
      <c r="D6830">
        <v>4833.97</v>
      </c>
    </row>
    <row r="6831" spans="1:4" x14ac:dyDescent="0.25">
      <c r="A6831" t="s">
        <v>633</v>
      </c>
      <c r="B6831" t="s">
        <v>315</v>
      </c>
      <c r="C6831" s="2">
        <f>HYPERLINK("https://svao.dolgi.msk.ru/account/1760064116/", 1760064116)</f>
        <v>1760064116</v>
      </c>
      <c r="D6831">
        <v>6541.01</v>
      </c>
    </row>
    <row r="6832" spans="1:4" x14ac:dyDescent="0.25">
      <c r="A6832" t="s">
        <v>633</v>
      </c>
      <c r="B6832" t="s">
        <v>301</v>
      </c>
      <c r="C6832" s="2">
        <f>HYPERLINK("https://svao.dolgi.msk.ru/account/1760064132/", 1760064132)</f>
        <v>1760064132</v>
      </c>
      <c r="D6832">
        <v>6114.4</v>
      </c>
    </row>
    <row r="6833" spans="1:4" x14ac:dyDescent="0.25">
      <c r="A6833" t="s">
        <v>633</v>
      </c>
      <c r="B6833" t="s">
        <v>248</v>
      </c>
      <c r="C6833" s="2">
        <f>HYPERLINK("https://svao.dolgi.msk.ru/account/1760064159/", 1760064159)</f>
        <v>1760064159</v>
      </c>
      <c r="D6833">
        <v>7557.01</v>
      </c>
    </row>
    <row r="6834" spans="1:4" x14ac:dyDescent="0.25">
      <c r="A6834" t="s">
        <v>633</v>
      </c>
      <c r="B6834" t="s">
        <v>145</v>
      </c>
      <c r="C6834" s="2">
        <f>HYPERLINK("https://svao.dolgi.msk.ru/account/1760064183/", 1760064183)</f>
        <v>1760064183</v>
      </c>
      <c r="D6834">
        <v>876.27</v>
      </c>
    </row>
    <row r="6835" spans="1:4" x14ac:dyDescent="0.25">
      <c r="A6835" t="s">
        <v>633</v>
      </c>
      <c r="B6835" t="s">
        <v>339</v>
      </c>
      <c r="C6835" s="2">
        <f>HYPERLINK("https://svao.dolgi.msk.ru/account/1760064204/", 1760064204)</f>
        <v>1760064204</v>
      </c>
      <c r="D6835">
        <v>11883.67</v>
      </c>
    </row>
    <row r="6836" spans="1:4" x14ac:dyDescent="0.25">
      <c r="A6836" t="s">
        <v>633</v>
      </c>
      <c r="B6836" t="s">
        <v>146</v>
      </c>
      <c r="C6836" s="2">
        <f>HYPERLINK("https://svao.dolgi.msk.ru/account/1760064255/", 1760064255)</f>
        <v>1760064255</v>
      </c>
      <c r="D6836">
        <v>7051.42</v>
      </c>
    </row>
    <row r="6837" spans="1:4" x14ac:dyDescent="0.25">
      <c r="A6837" t="s">
        <v>633</v>
      </c>
      <c r="B6837" t="s">
        <v>294</v>
      </c>
      <c r="C6837" s="2">
        <f>HYPERLINK("https://svao.dolgi.msk.ru/account/1760064319/", 1760064319)</f>
        <v>1760064319</v>
      </c>
      <c r="D6837">
        <v>769550.48</v>
      </c>
    </row>
    <row r="6838" spans="1:4" x14ac:dyDescent="0.25">
      <c r="A6838" t="s">
        <v>633</v>
      </c>
      <c r="B6838" t="s">
        <v>147</v>
      </c>
      <c r="C6838" s="2">
        <f>HYPERLINK("https://svao.dolgi.msk.ru/account/1760064327/", 1760064327)</f>
        <v>1760064327</v>
      </c>
      <c r="D6838">
        <v>4603.03</v>
      </c>
    </row>
    <row r="6839" spans="1:4" x14ac:dyDescent="0.25">
      <c r="A6839" t="s">
        <v>633</v>
      </c>
      <c r="B6839" t="s">
        <v>252</v>
      </c>
      <c r="C6839" s="2">
        <f>HYPERLINK("https://svao.dolgi.msk.ru/account/1760064343/", 1760064343)</f>
        <v>1760064343</v>
      </c>
      <c r="D6839">
        <v>5071.84</v>
      </c>
    </row>
    <row r="6840" spans="1:4" x14ac:dyDescent="0.25">
      <c r="A6840" t="s">
        <v>633</v>
      </c>
      <c r="B6840" t="s">
        <v>50</v>
      </c>
      <c r="C6840" s="2">
        <f>HYPERLINK("https://svao.dolgi.msk.ru/account/1760064378/", 1760064378)</f>
        <v>1760064378</v>
      </c>
      <c r="D6840">
        <v>6899.91</v>
      </c>
    </row>
    <row r="6841" spans="1:4" x14ac:dyDescent="0.25">
      <c r="A6841" t="s">
        <v>633</v>
      </c>
      <c r="B6841" t="s">
        <v>51</v>
      </c>
      <c r="C6841" s="2">
        <f>HYPERLINK("https://svao.dolgi.msk.ru/account/1760064386/", 1760064386)</f>
        <v>1760064386</v>
      </c>
      <c r="D6841">
        <v>8617.83</v>
      </c>
    </row>
    <row r="6842" spans="1:4" x14ac:dyDescent="0.25">
      <c r="A6842" t="s">
        <v>633</v>
      </c>
      <c r="B6842" t="s">
        <v>331</v>
      </c>
      <c r="C6842" s="2">
        <f>HYPERLINK("https://svao.dolgi.msk.ru/account/1760064407/", 1760064407)</f>
        <v>1760064407</v>
      </c>
      <c r="D6842">
        <v>7060.67</v>
      </c>
    </row>
    <row r="6843" spans="1:4" x14ac:dyDescent="0.25">
      <c r="A6843" t="s">
        <v>633</v>
      </c>
      <c r="B6843" t="s">
        <v>52</v>
      </c>
      <c r="C6843" s="2">
        <f>HYPERLINK("https://svao.dolgi.msk.ru/account/1760064423/", 1760064423)</f>
        <v>1760064423</v>
      </c>
      <c r="D6843">
        <v>29673.09</v>
      </c>
    </row>
    <row r="6844" spans="1:4" x14ac:dyDescent="0.25">
      <c r="A6844" t="s">
        <v>633</v>
      </c>
      <c r="B6844" t="s">
        <v>316</v>
      </c>
      <c r="C6844" s="2">
        <f>HYPERLINK("https://svao.dolgi.msk.ru/account/1760064431/", 1760064431)</f>
        <v>1760064431</v>
      </c>
      <c r="D6844">
        <v>13212.07</v>
      </c>
    </row>
    <row r="6845" spans="1:4" x14ac:dyDescent="0.25">
      <c r="A6845" t="s">
        <v>633</v>
      </c>
      <c r="B6845" t="s">
        <v>295</v>
      </c>
      <c r="C6845" s="2">
        <f>HYPERLINK("https://svao.dolgi.msk.ru/account/1760064474/", 1760064474)</f>
        <v>1760064474</v>
      </c>
      <c r="D6845">
        <v>5368.21</v>
      </c>
    </row>
    <row r="6846" spans="1:4" x14ac:dyDescent="0.25">
      <c r="A6846" t="s">
        <v>633</v>
      </c>
      <c r="B6846" t="s">
        <v>151</v>
      </c>
      <c r="C6846" s="2">
        <f>HYPERLINK("https://svao.dolgi.msk.ru/account/1760064546/", 1760064546)</f>
        <v>1760064546</v>
      </c>
      <c r="D6846">
        <v>5926.56</v>
      </c>
    </row>
    <row r="6847" spans="1:4" x14ac:dyDescent="0.25">
      <c r="A6847" t="s">
        <v>633</v>
      </c>
      <c r="B6847" t="s">
        <v>152</v>
      </c>
      <c r="C6847" s="2">
        <f>HYPERLINK("https://svao.dolgi.msk.ru/account/1760064562/", 1760064562)</f>
        <v>1760064562</v>
      </c>
      <c r="D6847">
        <v>6272.39</v>
      </c>
    </row>
    <row r="6848" spans="1:4" x14ac:dyDescent="0.25">
      <c r="A6848" t="s">
        <v>633</v>
      </c>
      <c r="B6848" t="s">
        <v>317</v>
      </c>
      <c r="C6848" s="2">
        <f>HYPERLINK("https://svao.dolgi.msk.ru/account/1761790267/", 1761790267)</f>
        <v>1761790267</v>
      </c>
      <c r="D6848">
        <v>474.38</v>
      </c>
    </row>
    <row r="6849" spans="1:4" x14ac:dyDescent="0.25">
      <c r="A6849" t="s">
        <v>633</v>
      </c>
      <c r="B6849" t="s">
        <v>253</v>
      </c>
      <c r="C6849" s="2">
        <f>HYPERLINK("https://svao.dolgi.msk.ru/account/1760064618/", 1760064618)</f>
        <v>1760064618</v>
      </c>
      <c r="D6849">
        <v>13026.95</v>
      </c>
    </row>
    <row r="6850" spans="1:4" x14ac:dyDescent="0.25">
      <c r="A6850" t="s">
        <v>633</v>
      </c>
      <c r="B6850" t="s">
        <v>54</v>
      </c>
      <c r="C6850" s="2">
        <f>HYPERLINK("https://svao.dolgi.msk.ru/account/1760064626/", 1760064626)</f>
        <v>1760064626</v>
      </c>
      <c r="D6850">
        <v>3891.6</v>
      </c>
    </row>
    <row r="6851" spans="1:4" x14ac:dyDescent="0.25">
      <c r="A6851" t="s">
        <v>633</v>
      </c>
      <c r="B6851" t="s">
        <v>428</v>
      </c>
      <c r="C6851" s="2">
        <f>HYPERLINK("https://svao.dolgi.msk.ru/account/1760064634/", 1760064634)</f>
        <v>1760064634</v>
      </c>
      <c r="D6851">
        <v>6118.27</v>
      </c>
    </row>
    <row r="6852" spans="1:4" x14ac:dyDescent="0.25">
      <c r="A6852" t="s">
        <v>633</v>
      </c>
      <c r="B6852" t="s">
        <v>297</v>
      </c>
      <c r="C6852" s="2">
        <f>HYPERLINK("https://svao.dolgi.msk.ru/account/1760064749/", 1760064749)</f>
        <v>1760064749</v>
      </c>
      <c r="D6852">
        <v>2721.37</v>
      </c>
    </row>
    <row r="6853" spans="1:4" x14ac:dyDescent="0.25">
      <c r="A6853" t="s">
        <v>633</v>
      </c>
      <c r="B6853" t="s">
        <v>298</v>
      </c>
      <c r="C6853" s="2">
        <f>HYPERLINK("https://svao.dolgi.msk.ru/account/1760064757/", 1760064757)</f>
        <v>1760064757</v>
      </c>
      <c r="D6853">
        <v>367.7</v>
      </c>
    </row>
    <row r="6854" spans="1:4" x14ac:dyDescent="0.25">
      <c r="A6854" t="s">
        <v>633</v>
      </c>
      <c r="B6854" t="s">
        <v>327</v>
      </c>
      <c r="C6854" s="2">
        <f>HYPERLINK("https://svao.dolgi.msk.ru/account/1760064773/", 1760064773)</f>
        <v>1760064773</v>
      </c>
      <c r="D6854">
        <v>3550.67</v>
      </c>
    </row>
    <row r="6855" spans="1:4" x14ac:dyDescent="0.25">
      <c r="A6855" t="s">
        <v>633</v>
      </c>
      <c r="B6855" t="s">
        <v>335</v>
      </c>
      <c r="C6855" s="2">
        <f>HYPERLINK("https://svao.dolgi.msk.ru/account/1760064845/", 1760064845)</f>
        <v>1760064845</v>
      </c>
      <c r="D6855">
        <v>6535.79</v>
      </c>
    </row>
    <row r="6856" spans="1:4" x14ac:dyDescent="0.25">
      <c r="A6856" t="s">
        <v>633</v>
      </c>
      <c r="B6856" t="s">
        <v>156</v>
      </c>
      <c r="C6856" s="2">
        <f>HYPERLINK("https://svao.dolgi.msk.ru/account/1760064861/", 1760064861)</f>
        <v>1760064861</v>
      </c>
      <c r="D6856">
        <v>4777.91</v>
      </c>
    </row>
    <row r="6857" spans="1:4" x14ac:dyDescent="0.25">
      <c r="A6857" t="s">
        <v>633</v>
      </c>
      <c r="B6857" t="s">
        <v>157</v>
      </c>
      <c r="C6857" s="2">
        <f>HYPERLINK("https://svao.dolgi.msk.ru/account/1760064888/", 1760064888)</f>
        <v>1760064888</v>
      </c>
      <c r="D6857">
        <v>7644.8</v>
      </c>
    </row>
    <row r="6858" spans="1:4" x14ac:dyDescent="0.25">
      <c r="A6858" t="s">
        <v>633</v>
      </c>
      <c r="B6858" t="s">
        <v>340</v>
      </c>
      <c r="C6858" s="2">
        <f>HYPERLINK("https://svao.dolgi.msk.ru/account/1760064909/", 1760064909)</f>
        <v>1760064909</v>
      </c>
      <c r="D6858">
        <v>383098.19</v>
      </c>
    </row>
    <row r="6859" spans="1:4" x14ac:dyDescent="0.25">
      <c r="A6859" t="s">
        <v>633</v>
      </c>
      <c r="B6859" t="s">
        <v>341</v>
      </c>
      <c r="C6859" s="2">
        <f>HYPERLINK("https://svao.dolgi.msk.ru/account/1760064917/", 1760064917)</f>
        <v>1760064917</v>
      </c>
      <c r="D6859">
        <v>5090.5600000000004</v>
      </c>
    </row>
    <row r="6860" spans="1:4" x14ac:dyDescent="0.25">
      <c r="A6860" t="s">
        <v>633</v>
      </c>
      <c r="B6860" t="s">
        <v>57</v>
      </c>
      <c r="C6860" s="2">
        <f>HYPERLINK("https://svao.dolgi.msk.ru/account/1760064933/", 1760064933)</f>
        <v>1760064933</v>
      </c>
      <c r="D6860">
        <v>8485.6</v>
      </c>
    </row>
    <row r="6861" spans="1:4" x14ac:dyDescent="0.25">
      <c r="A6861" t="s">
        <v>633</v>
      </c>
      <c r="B6861" t="s">
        <v>158</v>
      </c>
      <c r="C6861" s="2">
        <f>HYPERLINK("https://svao.dolgi.msk.ru/account/1760064976/", 1760064976)</f>
        <v>1760064976</v>
      </c>
      <c r="D6861">
        <v>9859.5400000000009</v>
      </c>
    </row>
    <row r="6862" spans="1:4" x14ac:dyDescent="0.25">
      <c r="A6862" t="s">
        <v>634</v>
      </c>
      <c r="B6862" t="s">
        <v>5</v>
      </c>
      <c r="C6862" s="2">
        <f>HYPERLINK("https://svao.dolgi.msk.ru/account/1760065071/", 1760065071)</f>
        <v>1760065071</v>
      </c>
      <c r="D6862">
        <v>8926.48</v>
      </c>
    </row>
    <row r="6863" spans="1:4" x14ac:dyDescent="0.25">
      <c r="A6863" t="s">
        <v>634</v>
      </c>
      <c r="B6863" t="s">
        <v>7</v>
      </c>
      <c r="C6863" s="2">
        <f>HYPERLINK("https://svao.dolgi.msk.ru/account/1760065119/", 1760065119)</f>
        <v>1760065119</v>
      </c>
      <c r="D6863">
        <v>5367.83</v>
      </c>
    </row>
    <row r="6864" spans="1:4" x14ac:dyDescent="0.25">
      <c r="A6864" t="s">
        <v>634</v>
      </c>
      <c r="B6864" t="s">
        <v>101</v>
      </c>
      <c r="C6864" s="2">
        <f>HYPERLINK("https://svao.dolgi.msk.ru/account/1760065135/", 1760065135)</f>
        <v>1760065135</v>
      </c>
      <c r="D6864">
        <v>4747.3999999999996</v>
      </c>
    </row>
    <row r="6865" spans="1:4" x14ac:dyDescent="0.25">
      <c r="A6865" t="s">
        <v>634</v>
      </c>
      <c r="B6865" t="s">
        <v>103</v>
      </c>
      <c r="C6865" s="2">
        <f>HYPERLINK("https://svao.dolgi.msk.ru/account/1760065178/", 1760065178)</f>
        <v>1760065178</v>
      </c>
      <c r="D6865">
        <v>7168.86</v>
      </c>
    </row>
    <row r="6866" spans="1:4" x14ac:dyDescent="0.25">
      <c r="A6866" t="s">
        <v>634</v>
      </c>
      <c r="B6866" t="s">
        <v>104</v>
      </c>
      <c r="C6866" s="2">
        <f>HYPERLINK("https://svao.dolgi.msk.ru/account/1760065194/", 1760065194)</f>
        <v>1760065194</v>
      </c>
      <c r="D6866">
        <v>14011.75</v>
      </c>
    </row>
    <row r="6867" spans="1:4" x14ac:dyDescent="0.25">
      <c r="A6867" t="s">
        <v>634</v>
      </c>
      <c r="B6867" t="s">
        <v>8</v>
      </c>
      <c r="C6867" s="2">
        <f>HYPERLINK("https://svao.dolgi.msk.ru/account/1760065215/", 1760065215)</f>
        <v>1760065215</v>
      </c>
      <c r="D6867">
        <v>4051.66</v>
      </c>
    </row>
    <row r="6868" spans="1:4" x14ac:dyDescent="0.25">
      <c r="A6868" t="s">
        <v>634</v>
      </c>
      <c r="B6868" t="s">
        <v>13</v>
      </c>
      <c r="C6868" s="2">
        <f>HYPERLINK("https://svao.dolgi.msk.ru/account/1760065346/", 1760065346)</f>
        <v>1760065346</v>
      </c>
      <c r="D6868">
        <v>8586.81</v>
      </c>
    </row>
    <row r="6869" spans="1:4" x14ac:dyDescent="0.25">
      <c r="A6869" t="s">
        <v>634</v>
      </c>
      <c r="B6869" t="s">
        <v>19</v>
      </c>
      <c r="C6869" s="2">
        <f>HYPERLINK("https://svao.dolgi.msk.ru/account/1760065477/", 1760065477)</f>
        <v>1760065477</v>
      </c>
      <c r="D6869">
        <v>6581.4</v>
      </c>
    </row>
    <row r="6870" spans="1:4" x14ac:dyDescent="0.25">
      <c r="A6870" t="s">
        <v>634</v>
      </c>
      <c r="B6870" t="s">
        <v>92</v>
      </c>
      <c r="C6870" s="2">
        <f>HYPERLINK("https://svao.dolgi.msk.ru/account/1760065549/", 1760065549)</f>
        <v>1760065549</v>
      </c>
      <c r="D6870">
        <v>7428</v>
      </c>
    </row>
    <row r="6871" spans="1:4" x14ac:dyDescent="0.25">
      <c r="A6871" t="s">
        <v>634</v>
      </c>
      <c r="B6871" t="s">
        <v>93</v>
      </c>
      <c r="C6871" s="2">
        <f>HYPERLINK("https://svao.dolgi.msk.ru/account/1760065557/", 1760065557)</f>
        <v>1760065557</v>
      </c>
      <c r="D6871">
        <v>2528.5500000000002</v>
      </c>
    </row>
    <row r="6872" spans="1:4" x14ac:dyDescent="0.25">
      <c r="A6872" t="s">
        <v>634</v>
      </c>
      <c r="B6872" t="s">
        <v>113</v>
      </c>
      <c r="C6872" s="2">
        <f>HYPERLINK("https://svao.dolgi.msk.ru/account/1760065629/", 1760065629)</f>
        <v>1760065629</v>
      </c>
      <c r="D6872">
        <v>229904.2</v>
      </c>
    </row>
    <row r="6873" spans="1:4" x14ac:dyDescent="0.25">
      <c r="A6873" t="s">
        <v>634</v>
      </c>
      <c r="B6873" t="s">
        <v>114</v>
      </c>
      <c r="C6873" s="2">
        <f>HYPERLINK("https://svao.dolgi.msk.ru/account/1760065688/", 1760065688)</f>
        <v>1760065688</v>
      </c>
      <c r="D6873">
        <v>9944.76</v>
      </c>
    </row>
    <row r="6874" spans="1:4" x14ac:dyDescent="0.25">
      <c r="A6874" t="s">
        <v>634</v>
      </c>
      <c r="B6874" t="s">
        <v>242</v>
      </c>
      <c r="C6874" s="2">
        <f>HYPERLINK("https://svao.dolgi.msk.ru/account/1760065805/", 1760065805)</f>
        <v>1760065805</v>
      </c>
      <c r="D6874">
        <v>5653.56</v>
      </c>
    </row>
    <row r="6875" spans="1:4" x14ac:dyDescent="0.25">
      <c r="A6875" t="s">
        <v>634</v>
      </c>
      <c r="B6875" t="s">
        <v>95</v>
      </c>
      <c r="C6875" s="2">
        <f>HYPERLINK("https://svao.dolgi.msk.ru/account/1760065813/", 1760065813)</f>
        <v>1760065813</v>
      </c>
      <c r="D6875">
        <v>4545.17</v>
      </c>
    </row>
    <row r="6876" spans="1:4" x14ac:dyDescent="0.25">
      <c r="A6876" t="s">
        <v>634</v>
      </c>
      <c r="B6876" t="s">
        <v>126</v>
      </c>
      <c r="C6876" s="2">
        <f>HYPERLINK("https://svao.dolgi.msk.ru/account/1760065856/", 1760065856)</f>
        <v>1760065856</v>
      </c>
      <c r="D6876">
        <v>5868.74</v>
      </c>
    </row>
    <row r="6877" spans="1:4" x14ac:dyDescent="0.25">
      <c r="A6877" t="s">
        <v>634</v>
      </c>
      <c r="B6877" t="s">
        <v>126</v>
      </c>
      <c r="C6877" s="2">
        <f>HYPERLINK("https://svao.dolgi.msk.ru/account/1760065872/", 1760065872)</f>
        <v>1760065872</v>
      </c>
      <c r="D6877">
        <v>1472.99</v>
      </c>
    </row>
    <row r="6878" spans="1:4" x14ac:dyDescent="0.25">
      <c r="A6878" t="s">
        <v>634</v>
      </c>
      <c r="B6878" t="s">
        <v>80</v>
      </c>
      <c r="C6878" s="2">
        <f>HYPERLINK("https://svao.dolgi.msk.ru/account/1760065899/", 1760065899)</f>
        <v>1760065899</v>
      </c>
      <c r="D6878">
        <v>11882.82</v>
      </c>
    </row>
    <row r="6879" spans="1:4" x14ac:dyDescent="0.25">
      <c r="A6879" t="s">
        <v>634</v>
      </c>
      <c r="B6879" t="s">
        <v>82</v>
      </c>
      <c r="C6879" s="2">
        <f>HYPERLINK("https://svao.dolgi.msk.ru/account/1760065979/", 1760065979)</f>
        <v>1760065979</v>
      </c>
      <c r="D6879">
        <v>11012.64</v>
      </c>
    </row>
    <row r="6880" spans="1:4" x14ac:dyDescent="0.25">
      <c r="A6880" t="s">
        <v>634</v>
      </c>
      <c r="B6880" t="s">
        <v>128</v>
      </c>
      <c r="C6880" s="2">
        <f>HYPERLINK("https://svao.dolgi.msk.ru/account/1760065987/", 1760065987)</f>
        <v>1760065987</v>
      </c>
      <c r="D6880">
        <v>6278.72</v>
      </c>
    </row>
    <row r="6881" spans="1:4" x14ac:dyDescent="0.25">
      <c r="A6881" t="s">
        <v>634</v>
      </c>
      <c r="B6881" t="s">
        <v>83</v>
      </c>
      <c r="C6881" s="2">
        <f>HYPERLINK("https://svao.dolgi.msk.ru/account/1760066023/", 1760066023)</f>
        <v>1760066023</v>
      </c>
      <c r="D6881">
        <v>136060.23000000001</v>
      </c>
    </row>
    <row r="6882" spans="1:4" x14ac:dyDescent="0.25">
      <c r="A6882" t="s">
        <v>634</v>
      </c>
      <c r="B6882" t="s">
        <v>132</v>
      </c>
      <c r="C6882" s="2">
        <f>HYPERLINK("https://svao.dolgi.msk.ru/account/1760066031/", 1760066031)</f>
        <v>1760066031</v>
      </c>
      <c r="D6882">
        <v>6978.91</v>
      </c>
    </row>
    <row r="6883" spans="1:4" x14ac:dyDescent="0.25">
      <c r="A6883" t="s">
        <v>634</v>
      </c>
      <c r="B6883" t="s">
        <v>133</v>
      </c>
      <c r="C6883" s="2">
        <f>HYPERLINK("https://svao.dolgi.msk.ru/account/1760066066/", 1760066066)</f>
        <v>1760066066</v>
      </c>
      <c r="D6883">
        <v>11199.02</v>
      </c>
    </row>
    <row r="6884" spans="1:4" x14ac:dyDescent="0.25">
      <c r="A6884" t="s">
        <v>634</v>
      </c>
      <c r="B6884" t="s">
        <v>27</v>
      </c>
      <c r="C6884" s="2">
        <f>HYPERLINK("https://svao.dolgi.msk.ru/account/1760066082/", 1760066082)</f>
        <v>1760066082</v>
      </c>
      <c r="D6884">
        <v>9015.59</v>
      </c>
    </row>
    <row r="6885" spans="1:4" x14ac:dyDescent="0.25">
      <c r="A6885" t="s">
        <v>634</v>
      </c>
      <c r="B6885" t="s">
        <v>290</v>
      </c>
      <c r="C6885" s="2">
        <f>HYPERLINK("https://svao.dolgi.msk.ru/account/1760066103/", 1760066103)</f>
        <v>1760066103</v>
      </c>
      <c r="D6885">
        <v>5057.67</v>
      </c>
    </row>
    <row r="6886" spans="1:4" x14ac:dyDescent="0.25">
      <c r="A6886" t="s">
        <v>634</v>
      </c>
      <c r="B6886" t="s">
        <v>29</v>
      </c>
      <c r="C6886" s="2">
        <f>HYPERLINK("https://svao.dolgi.msk.ru/account/1760066189/", 1760066189)</f>
        <v>1760066189</v>
      </c>
      <c r="D6886">
        <v>12128.28</v>
      </c>
    </row>
    <row r="6887" spans="1:4" x14ac:dyDescent="0.25">
      <c r="A6887" t="s">
        <v>634</v>
      </c>
      <c r="B6887" t="s">
        <v>97</v>
      </c>
      <c r="C6887" s="2">
        <f>HYPERLINK("https://svao.dolgi.msk.ru/account/1760066234/", 1760066234)</f>
        <v>1760066234</v>
      </c>
      <c r="D6887">
        <v>17246.09</v>
      </c>
    </row>
    <row r="6888" spans="1:4" x14ac:dyDescent="0.25">
      <c r="A6888" t="s">
        <v>634</v>
      </c>
      <c r="B6888" t="s">
        <v>85</v>
      </c>
      <c r="C6888" s="2">
        <f>HYPERLINK("https://svao.dolgi.msk.ru/account/1760066322/", 1760066322)</f>
        <v>1760066322</v>
      </c>
      <c r="D6888">
        <v>571.08000000000004</v>
      </c>
    </row>
    <row r="6889" spans="1:4" x14ac:dyDescent="0.25">
      <c r="A6889" t="s">
        <v>634</v>
      </c>
      <c r="B6889" t="s">
        <v>34</v>
      </c>
      <c r="C6889" s="2">
        <f>HYPERLINK("https://svao.dolgi.msk.ru/account/1760066357/", 1760066357)</f>
        <v>1760066357</v>
      </c>
      <c r="D6889">
        <v>6829.83</v>
      </c>
    </row>
    <row r="6890" spans="1:4" x14ac:dyDescent="0.25">
      <c r="A6890" t="s">
        <v>634</v>
      </c>
      <c r="B6890" t="s">
        <v>35</v>
      </c>
      <c r="C6890" s="2">
        <f>HYPERLINK("https://svao.dolgi.msk.ru/account/1760066365/", 1760066365)</f>
        <v>1760066365</v>
      </c>
      <c r="D6890">
        <v>142573.99</v>
      </c>
    </row>
    <row r="6891" spans="1:4" x14ac:dyDescent="0.25">
      <c r="A6891" t="s">
        <v>634</v>
      </c>
      <c r="B6891" t="s">
        <v>135</v>
      </c>
      <c r="C6891" s="2">
        <f>HYPERLINK("https://svao.dolgi.msk.ru/account/1760066381/", 1760066381)</f>
        <v>1760066381</v>
      </c>
      <c r="D6891">
        <v>7356.95</v>
      </c>
    </row>
    <row r="6892" spans="1:4" x14ac:dyDescent="0.25">
      <c r="A6892" t="s">
        <v>634</v>
      </c>
      <c r="B6892" t="s">
        <v>333</v>
      </c>
      <c r="C6892" s="2">
        <f>HYPERLINK("https://svao.dolgi.msk.ru/account/1760066429/", 1760066429)</f>
        <v>1760066429</v>
      </c>
      <c r="D6892">
        <v>5506.72</v>
      </c>
    </row>
    <row r="6893" spans="1:4" x14ac:dyDescent="0.25">
      <c r="A6893" t="s">
        <v>634</v>
      </c>
      <c r="B6893" t="s">
        <v>87</v>
      </c>
      <c r="C6893" s="2">
        <f>HYPERLINK("https://svao.dolgi.msk.ru/account/1760066437/", 1760066437)</f>
        <v>1760066437</v>
      </c>
      <c r="D6893">
        <v>145355.16</v>
      </c>
    </row>
    <row r="6894" spans="1:4" x14ac:dyDescent="0.25">
      <c r="A6894" t="s">
        <v>634</v>
      </c>
      <c r="B6894" t="s">
        <v>36</v>
      </c>
      <c r="C6894" s="2">
        <f>HYPERLINK("https://svao.dolgi.msk.ru/account/1760066445/", 1760066445)</f>
        <v>1760066445</v>
      </c>
      <c r="D6894">
        <v>14483.27</v>
      </c>
    </row>
    <row r="6895" spans="1:4" x14ac:dyDescent="0.25">
      <c r="A6895" t="s">
        <v>634</v>
      </c>
      <c r="B6895" t="s">
        <v>88</v>
      </c>
      <c r="C6895" s="2">
        <f>HYPERLINK("https://svao.dolgi.msk.ru/account/1760066453/", 1760066453)</f>
        <v>1760066453</v>
      </c>
      <c r="D6895">
        <v>6595.75</v>
      </c>
    </row>
    <row r="6896" spans="1:4" x14ac:dyDescent="0.25">
      <c r="A6896" t="s">
        <v>634</v>
      </c>
      <c r="B6896" t="s">
        <v>89</v>
      </c>
      <c r="C6896" s="2">
        <f>HYPERLINK("https://svao.dolgi.msk.ru/account/1760066584/", 1760066584)</f>
        <v>1760066584</v>
      </c>
      <c r="D6896">
        <v>6912.89</v>
      </c>
    </row>
    <row r="6897" spans="1:4" x14ac:dyDescent="0.25">
      <c r="A6897" t="s">
        <v>634</v>
      </c>
      <c r="B6897" t="s">
        <v>315</v>
      </c>
      <c r="C6897" s="2">
        <f>HYPERLINK("https://svao.dolgi.msk.ru/account/1760066664/", 1760066664)</f>
        <v>1760066664</v>
      </c>
      <c r="D6897">
        <v>8320.48</v>
      </c>
    </row>
    <row r="6898" spans="1:4" x14ac:dyDescent="0.25">
      <c r="A6898" t="s">
        <v>634</v>
      </c>
      <c r="B6898" t="s">
        <v>46</v>
      </c>
      <c r="C6898" s="2">
        <f>HYPERLINK("https://svao.dolgi.msk.ru/account/1760066672/", 1760066672)</f>
        <v>1760066672</v>
      </c>
      <c r="D6898">
        <v>2031.87</v>
      </c>
    </row>
    <row r="6899" spans="1:4" x14ac:dyDescent="0.25">
      <c r="A6899" t="s">
        <v>634</v>
      </c>
      <c r="B6899" t="s">
        <v>46</v>
      </c>
      <c r="C6899" s="2">
        <f>HYPERLINK("https://svao.dolgi.msk.ru/account/1760066699/", 1760066699)</f>
        <v>1760066699</v>
      </c>
      <c r="D6899">
        <v>90088.51</v>
      </c>
    </row>
    <row r="6900" spans="1:4" x14ac:dyDescent="0.25">
      <c r="A6900" t="s">
        <v>634</v>
      </c>
      <c r="B6900" t="s">
        <v>46</v>
      </c>
      <c r="C6900" s="2">
        <f>HYPERLINK("https://svao.dolgi.msk.ru/account/1760066701/", 1760066701)</f>
        <v>1760066701</v>
      </c>
      <c r="D6900">
        <v>11984.5</v>
      </c>
    </row>
    <row r="6901" spans="1:4" x14ac:dyDescent="0.25">
      <c r="A6901" t="s">
        <v>634</v>
      </c>
      <c r="B6901" t="s">
        <v>146</v>
      </c>
      <c r="C6901" s="2">
        <f>HYPERLINK("https://svao.dolgi.msk.ru/account/1760066795/", 1760066795)</f>
        <v>1760066795</v>
      </c>
      <c r="D6901">
        <v>6501.42</v>
      </c>
    </row>
    <row r="6902" spans="1:4" x14ac:dyDescent="0.25">
      <c r="A6902" t="s">
        <v>634</v>
      </c>
      <c r="B6902" t="s">
        <v>48</v>
      </c>
      <c r="C6902" s="2">
        <f>HYPERLINK("https://svao.dolgi.msk.ru/account/1760066816/", 1760066816)</f>
        <v>1760066816</v>
      </c>
      <c r="D6902">
        <v>2986.78</v>
      </c>
    </row>
    <row r="6903" spans="1:4" x14ac:dyDescent="0.25">
      <c r="A6903" t="s">
        <v>634</v>
      </c>
      <c r="B6903" t="s">
        <v>147</v>
      </c>
      <c r="C6903" s="2">
        <f>HYPERLINK("https://svao.dolgi.msk.ru/account/1760066859/", 1760066859)</f>
        <v>1760066859</v>
      </c>
      <c r="D6903">
        <v>8460.6</v>
      </c>
    </row>
    <row r="6904" spans="1:4" x14ac:dyDescent="0.25">
      <c r="A6904" t="s">
        <v>634</v>
      </c>
      <c r="B6904" t="s">
        <v>251</v>
      </c>
      <c r="C6904" s="2">
        <f>HYPERLINK("https://svao.dolgi.msk.ru/account/1760066867/", 1760066867)</f>
        <v>1760066867</v>
      </c>
      <c r="D6904">
        <v>4366.99</v>
      </c>
    </row>
    <row r="6905" spans="1:4" x14ac:dyDescent="0.25">
      <c r="A6905" t="s">
        <v>634</v>
      </c>
      <c r="B6905" t="s">
        <v>152</v>
      </c>
      <c r="C6905" s="2">
        <f>HYPERLINK("https://svao.dolgi.msk.ru/account/1760067085/", 1760067085)</f>
        <v>1760067085</v>
      </c>
      <c r="D6905">
        <v>229.33</v>
      </c>
    </row>
    <row r="6906" spans="1:4" x14ac:dyDescent="0.25">
      <c r="A6906" t="s">
        <v>635</v>
      </c>
      <c r="B6906" t="s">
        <v>141</v>
      </c>
      <c r="C6906" s="2">
        <f>HYPERLINK("https://svao.dolgi.msk.ru/account/1760069152/", 1760069152)</f>
        <v>1760069152</v>
      </c>
      <c r="D6906">
        <v>4837.71</v>
      </c>
    </row>
    <row r="6907" spans="1:4" x14ac:dyDescent="0.25">
      <c r="A6907" t="s">
        <v>635</v>
      </c>
      <c r="B6907" t="s">
        <v>102</v>
      </c>
      <c r="C6907" s="2">
        <f>HYPERLINK("https://svao.dolgi.msk.ru/account/1760069179/", 1760069179)</f>
        <v>1760069179</v>
      </c>
      <c r="D6907">
        <v>4747.03</v>
      </c>
    </row>
    <row r="6908" spans="1:4" x14ac:dyDescent="0.25">
      <c r="A6908" t="s">
        <v>635</v>
      </c>
      <c r="B6908" t="s">
        <v>137</v>
      </c>
      <c r="C6908" s="2">
        <f>HYPERLINK("https://svao.dolgi.msk.ru/account/1760069232/", 1760069232)</f>
        <v>1760069232</v>
      </c>
      <c r="D6908">
        <v>9709.92</v>
      </c>
    </row>
    <row r="6909" spans="1:4" x14ac:dyDescent="0.25">
      <c r="A6909" t="s">
        <v>635</v>
      </c>
      <c r="B6909" t="s">
        <v>9</v>
      </c>
      <c r="C6909" s="2">
        <f>HYPERLINK("https://svao.dolgi.msk.ru/account/1760069259/", 1760069259)</f>
        <v>1760069259</v>
      </c>
      <c r="D6909">
        <v>6358.66</v>
      </c>
    </row>
    <row r="6910" spans="1:4" x14ac:dyDescent="0.25">
      <c r="A6910" t="s">
        <v>635</v>
      </c>
      <c r="B6910" t="s">
        <v>75</v>
      </c>
      <c r="C6910" s="2">
        <f>HYPERLINK("https://svao.dolgi.msk.ru/account/1760069267/", 1760069267)</f>
        <v>1760069267</v>
      </c>
      <c r="D6910">
        <v>5359.15</v>
      </c>
    </row>
    <row r="6911" spans="1:4" x14ac:dyDescent="0.25">
      <c r="A6911" t="s">
        <v>635</v>
      </c>
      <c r="B6911" t="s">
        <v>219</v>
      </c>
      <c r="C6911" s="2">
        <f>HYPERLINK("https://svao.dolgi.msk.ru/account/1760069291/", 1760069291)</f>
        <v>1760069291</v>
      </c>
      <c r="D6911">
        <v>23129.03</v>
      </c>
    </row>
    <row r="6912" spans="1:4" x14ac:dyDescent="0.25">
      <c r="A6912" t="s">
        <v>635</v>
      </c>
      <c r="B6912" t="s">
        <v>17</v>
      </c>
      <c r="C6912" s="2">
        <f>HYPERLINK("https://svao.dolgi.msk.ru/account/1760069435/", 1760069435)</f>
        <v>1760069435</v>
      </c>
      <c r="D6912">
        <v>10832.24</v>
      </c>
    </row>
    <row r="6913" spans="1:4" x14ac:dyDescent="0.25">
      <c r="A6913" t="s">
        <v>635</v>
      </c>
      <c r="B6913" t="s">
        <v>19</v>
      </c>
      <c r="C6913" s="2">
        <f>HYPERLINK("https://svao.dolgi.msk.ru/account/1760069451/", 1760069451)</f>
        <v>1760069451</v>
      </c>
      <c r="D6913">
        <v>489.47</v>
      </c>
    </row>
    <row r="6914" spans="1:4" x14ac:dyDescent="0.25">
      <c r="A6914" t="s">
        <v>635</v>
      </c>
      <c r="B6914" t="s">
        <v>19</v>
      </c>
      <c r="C6914" s="2">
        <f>HYPERLINK("https://svao.dolgi.msk.ru/account/1760069478/", 1760069478)</f>
        <v>1760069478</v>
      </c>
      <c r="D6914">
        <v>1891.03</v>
      </c>
    </row>
    <row r="6915" spans="1:4" x14ac:dyDescent="0.25">
      <c r="A6915" t="s">
        <v>635</v>
      </c>
      <c r="B6915" t="s">
        <v>110</v>
      </c>
      <c r="C6915" s="2">
        <f>HYPERLINK("https://svao.dolgi.msk.ru/account/1760069494/", 1760069494)</f>
        <v>1760069494</v>
      </c>
      <c r="D6915">
        <v>5609.74</v>
      </c>
    </row>
    <row r="6916" spans="1:4" x14ac:dyDescent="0.25">
      <c r="A6916" t="s">
        <v>635</v>
      </c>
      <c r="B6916" t="s">
        <v>20</v>
      </c>
      <c r="C6916" s="2">
        <f>HYPERLINK("https://svao.dolgi.msk.ru/account/1760069507/", 1760069507)</f>
        <v>1760069507</v>
      </c>
      <c r="D6916">
        <v>10800.82</v>
      </c>
    </row>
    <row r="6917" spans="1:4" x14ac:dyDescent="0.25">
      <c r="A6917" t="s">
        <v>635</v>
      </c>
      <c r="B6917" t="s">
        <v>76</v>
      </c>
      <c r="C6917" s="2">
        <f>HYPERLINK("https://svao.dolgi.msk.ru/account/1760069515/", 1760069515)</f>
        <v>1760069515</v>
      </c>
      <c r="D6917">
        <v>9358.98</v>
      </c>
    </row>
    <row r="6918" spans="1:4" x14ac:dyDescent="0.25">
      <c r="A6918" t="s">
        <v>635</v>
      </c>
      <c r="B6918" t="s">
        <v>111</v>
      </c>
      <c r="C6918" s="2">
        <f>HYPERLINK("https://svao.dolgi.msk.ru/account/1760069558/", 1760069558)</f>
        <v>1760069558</v>
      </c>
      <c r="D6918">
        <v>3826.24</v>
      </c>
    </row>
    <row r="6919" spans="1:4" x14ac:dyDescent="0.25">
      <c r="A6919" t="s">
        <v>635</v>
      </c>
      <c r="B6919" t="s">
        <v>94</v>
      </c>
      <c r="C6919" s="2">
        <f>HYPERLINK("https://svao.dolgi.msk.ru/account/1760069582/", 1760069582)</f>
        <v>1760069582</v>
      </c>
      <c r="D6919">
        <v>12896.72</v>
      </c>
    </row>
    <row r="6920" spans="1:4" x14ac:dyDescent="0.25">
      <c r="A6920" t="s">
        <v>635</v>
      </c>
      <c r="B6920" t="s">
        <v>113</v>
      </c>
      <c r="C6920" s="2">
        <f>HYPERLINK("https://svao.dolgi.msk.ru/account/1760069638/", 1760069638)</f>
        <v>1760069638</v>
      </c>
      <c r="D6920">
        <v>3784.89</v>
      </c>
    </row>
    <row r="6921" spans="1:4" x14ac:dyDescent="0.25">
      <c r="A6921" t="s">
        <v>635</v>
      </c>
      <c r="B6921" t="s">
        <v>77</v>
      </c>
      <c r="C6921" s="2">
        <f>HYPERLINK("https://svao.dolgi.msk.ru/account/1760069662/", 1760069662)</f>
        <v>1760069662</v>
      </c>
      <c r="D6921">
        <v>2799.11</v>
      </c>
    </row>
    <row r="6922" spans="1:4" x14ac:dyDescent="0.25">
      <c r="A6922" t="s">
        <v>635</v>
      </c>
      <c r="B6922" t="s">
        <v>114</v>
      </c>
      <c r="C6922" s="2">
        <f>HYPERLINK("https://svao.dolgi.msk.ru/account/1760069689/", 1760069689)</f>
        <v>1760069689</v>
      </c>
      <c r="D6922">
        <v>4978.78</v>
      </c>
    </row>
    <row r="6923" spans="1:4" x14ac:dyDescent="0.25">
      <c r="A6923" t="s">
        <v>635</v>
      </c>
      <c r="B6923" t="s">
        <v>78</v>
      </c>
      <c r="C6923" s="2">
        <f>HYPERLINK("https://svao.dolgi.msk.ru/account/1760069697/", 1760069697)</f>
        <v>1760069697</v>
      </c>
      <c r="D6923">
        <v>6511.26</v>
      </c>
    </row>
    <row r="6924" spans="1:4" x14ac:dyDescent="0.25">
      <c r="A6924" t="s">
        <v>635</v>
      </c>
      <c r="B6924" t="s">
        <v>23</v>
      </c>
      <c r="C6924" s="2">
        <f>HYPERLINK("https://svao.dolgi.msk.ru/account/1760069734/", 1760069734)</f>
        <v>1760069734</v>
      </c>
      <c r="D6924">
        <v>2338.9</v>
      </c>
    </row>
    <row r="6925" spans="1:4" x14ac:dyDescent="0.25">
      <c r="A6925" t="s">
        <v>635</v>
      </c>
      <c r="B6925" t="s">
        <v>124</v>
      </c>
      <c r="C6925" s="2">
        <f>HYPERLINK("https://svao.dolgi.msk.ru/account/1760069742/", 1760069742)</f>
        <v>1760069742</v>
      </c>
      <c r="D6925">
        <v>7740.96</v>
      </c>
    </row>
    <row r="6926" spans="1:4" x14ac:dyDescent="0.25">
      <c r="A6926" t="s">
        <v>635</v>
      </c>
      <c r="B6926" t="s">
        <v>320</v>
      </c>
      <c r="C6926" s="2">
        <f>HYPERLINK("https://svao.dolgi.msk.ru/account/1760069785/", 1760069785)</f>
        <v>1760069785</v>
      </c>
      <c r="D6926">
        <v>7896.27</v>
      </c>
    </row>
    <row r="6927" spans="1:4" x14ac:dyDescent="0.25">
      <c r="A6927" t="s">
        <v>635</v>
      </c>
      <c r="B6927" t="s">
        <v>24</v>
      </c>
      <c r="C6927" s="2">
        <f>HYPERLINK("https://svao.dolgi.msk.ru/account/1760069793/", 1760069793)</f>
        <v>1760069793</v>
      </c>
      <c r="D6927">
        <v>9761.81</v>
      </c>
    </row>
    <row r="6928" spans="1:4" x14ac:dyDescent="0.25">
      <c r="A6928" t="s">
        <v>635</v>
      </c>
      <c r="B6928" t="s">
        <v>95</v>
      </c>
      <c r="C6928" s="2">
        <f>HYPERLINK("https://svao.dolgi.msk.ru/account/1760069849/", 1760069849)</f>
        <v>1760069849</v>
      </c>
      <c r="D6928">
        <v>11614.86</v>
      </c>
    </row>
    <row r="6929" spans="1:4" x14ac:dyDescent="0.25">
      <c r="A6929" t="s">
        <v>635</v>
      </c>
      <c r="B6929" t="s">
        <v>125</v>
      </c>
      <c r="C6929" s="2">
        <f>HYPERLINK("https://svao.dolgi.msk.ru/account/1760069881/", 1760069881)</f>
        <v>1760069881</v>
      </c>
      <c r="D6929">
        <v>6252.2</v>
      </c>
    </row>
    <row r="6930" spans="1:4" x14ac:dyDescent="0.25">
      <c r="A6930" t="s">
        <v>635</v>
      </c>
      <c r="B6930" t="s">
        <v>126</v>
      </c>
      <c r="C6930" s="2">
        <f>HYPERLINK("https://svao.dolgi.msk.ru/account/1760069902/", 1760069902)</f>
        <v>1760069902</v>
      </c>
      <c r="D6930">
        <v>7539.73</v>
      </c>
    </row>
    <row r="6931" spans="1:4" x14ac:dyDescent="0.25">
      <c r="A6931" t="s">
        <v>635</v>
      </c>
      <c r="B6931" t="s">
        <v>119</v>
      </c>
      <c r="C6931" s="2">
        <f>HYPERLINK("https://svao.dolgi.msk.ru/account/1760069961/", 1760069961)</f>
        <v>1760069961</v>
      </c>
      <c r="D6931">
        <v>714.15</v>
      </c>
    </row>
    <row r="6932" spans="1:4" x14ac:dyDescent="0.25">
      <c r="A6932" t="s">
        <v>635</v>
      </c>
      <c r="B6932" t="s">
        <v>82</v>
      </c>
      <c r="C6932" s="2">
        <f>HYPERLINK("https://svao.dolgi.msk.ru/account/1760070022/", 1760070022)</f>
        <v>1760070022</v>
      </c>
      <c r="D6932">
        <v>9294.8700000000008</v>
      </c>
    </row>
    <row r="6933" spans="1:4" x14ac:dyDescent="0.25">
      <c r="A6933" t="s">
        <v>635</v>
      </c>
      <c r="B6933" t="s">
        <v>83</v>
      </c>
      <c r="C6933" s="2">
        <f>HYPERLINK("https://svao.dolgi.msk.ru/account/1760070073/", 1760070073)</f>
        <v>1760070073</v>
      </c>
      <c r="D6933">
        <v>8439.02</v>
      </c>
    </row>
    <row r="6934" spans="1:4" x14ac:dyDescent="0.25">
      <c r="A6934" t="s">
        <v>635</v>
      </c>
      <c r="B6934" t="s">
        <v>133</v>
      </c>
      <c r="C6934" s="2">
        <f>HYPERLINK("https://svao.dolgi.msk.ru/account/1760070129/", 1760070129)</f>
        <v>1760070129</v>
      </c>
      <c r="D6934">
        <v>16809.3</v>
      </c>
    </row>
    <row r="6935" spans="1:4" x14ac:dyDescent="0.25">
      <c r="A6935" t="s">
        <v>635</v>
      </c>
      <c r="B6935" t="s">
        <v>96</v>
      </c>
      <c r="C6935" s="2">
        <f>HYPERLINK("https://svao.dolgi.msk.ru/account/1760070137/", 1760070137)</f>
        <v>1760070137</v>
      </c>
      <c r="D6935">
        <v>6402.67</v>
      </c>
    </row>
    <row r="6936" spans="1:4" x14ac:dyDescent="0.25">
      <c r="A6936" t="s">
        <v>635</v>
      </c>
      <c r="B6936" t="s">
        <v>27</v>
      </c>
      <c r="C6936" s="2">
        <f>HYPERLINK("https://svao.dolgi.msk.ru/account/1760070161/", 1760070161)</f>
        <v>1760070161</v>
      </c>
      <c r="D6936">
        <v>535.04999999999995</v>
      </c>
    </row>
    <row r="6937" spans="1:4" x14ac:dyDescent="0.25">
      <c r="A6937" t="s">
        <v>635</v>
      </c>
      <c r="B6937" t="s">
        <v>290</v>
      </c>
      <c r="C6937" s="2">
        <f>HYPERLINK("https://svao.dolgi.msk.ru/account/1760070188/", 1760070188)</f>
        <v>1760070188</v>
      </c>
      <c r="D6937">
        <v>4479.0200000000004</v>
      </c>
    </row>
    <row r="6938" spans="1:4" x14ac:dyDescent="0.25">
      <c r="A6938" t="s">
        <v>635</v>
      </c>
      <c r="B6938" t="s">
        <v>243</v>
      </c>
      <c r="C6938" s="2">
        <f>HYPERLINK("https://svao.dolgi.msk.ru/account/1760070196/", 1760070196)</f>
        <v>1760070196</v>
      </c>
      <c r="D6938">
        <v>6593.41</v>
      </c>
    </row>
    <row r="6939" spans="1:4" x14ac:dyDescent="0.25">
      <c r="A6939" t="s">
        <v>635</v>
      </c>
      <c r="B6939" t="s">
        <v>121</v>
      </c>
      <c r="C6939" s="2">
        <f>HYPERLINK("https://svao.dolgi.msk.ru/account/1760070217/", 1760070217)</f>
        <v>1760070217</v>
      </c>
      <c r="D6939">
        <v>7927.01</v>
      </c>
    </row>
    <row r="6940" spans="1:4" x14ac:dyDescent="0.25">
      <c r="A6940" t="s">
        <v>635</v>
      </c>
      <c r="B6940" t="s">
        <v>121</v>
      </c>
      <c r="C6940" s="2">
        <f>HYPERLINK("https://svao.dolgi.msk.ru/account/1760070233/", 1760070233)</f>
        <v>1760070233</v>
      </c>
      <c r="D6940">
        <v>2817.6</v>
      </c>
    </row>
    <row r="6941" spans="1:4" x14ac:dyDescent="0.25">
      <c r="A6941" t="s">
        <v>635</v>
      </c>
      <c r="B6941" t="s">
        <v>244</v>
      </c>
      <c r="C6941" s="2">
        <f>HYPERLINK("https://svao.dolgi.msk.ru/account/1760070313/", 1760070313)</f>
        <v>1760070313</v>
      </c>
      <c r="D6941">
        <v>8565.1200000000008</v>
      </c>
    </row>
    <row r="6942" spans="1:4" x14ac:dyDescent="0.25">
      <c r="A6942" t="s">
        <v>635</v>
      </c>
      <c r="B6942" t="s">
        <v>30</v>
      </c>
      <c r="C6942" s="2">
        <f>HYPERLINK("https://svao.dolgi.msk.ru/account/1760070348/", 1760070348)</f>
        <v>1760070348</v>
      </c>
      <c r="D6942">
        <v>6775.49</v>
      </c>
    </row>
    <row r="6943" spans="1:4" x14ac:dyDescent="0.25">
      <c r="A6943" t="s">
        <v>635</v>
      </c>
      <c r="B6943" t="s">
        <v>97</v>
      </c>
      <c r="C6943" s="2">
        <f>HYPERLINK("https://svao.dolgi.msk.ru/account/1760070356/", 1760070356)</f>
        <v>1760070356</v>
      </c>
      <c r="D6943">
        <v>6261.31</v>
      </c>
    </row>
    <row r="6944" spans="1:4" x14ac:dyDescent="0.25">
      <c r="A6944" t="s">
        <v>635</v>
      </c>
      <c r="B6944" t="s">
        <v>97</v>
      </c>
      <c r="C6944" s="2">
        <f>HYPERLINK("https://svao.dolgi.msk.ru/account/1761793468/", 1761793468)</f>
        <v>1761793468</v>
      </c>
      <c r="D6944">
        <v>1942.38</v>
      </c>
    </row>
    <row r="6945" spans="1:4" x14ac:dyDescent="0.25">
      <c r="A6945" t="s">
        <v>635</v>
      </c>
      <c r="B6945" t="s">
        <v>35</v>
      </c>
      <c r="C6945" s="2">
        <f>HYPERLINK("https://svao.dolgi.msk.ru/account/1760070508/", 1760070508)</f>
        <v>1760070508</v>
      </c>
      <c r="D6945">
        <v>5921.6</v>
      </c>
    </row>
    <row r="6946" spans="1:4" x14ac:dyDescent="0.25">
      <c r="A6946" t="s">
        <v>635</v>
      </c>
      <c r="B6946" t="s">
        <v>293</v>
      </c>
      <c r="C6946" s="2">
        <f>HYPERLINK("https://svao.dolgi.msk.ru/account/1760070591/", 1760070591)</f>
        <v>1760070591</v>
      </c>
      <c r="D6946">
        <v>5107.45</v>
      </c>
    </row>
    <row r="6947" spans="1:4" x14ac:dyDescent="0.25">
      <c r="A6947" t="s">
        <v>635</v>
      </c>
      <c r="B6947" t="s">
        <v>304</v>
      </c>
      <c r="C6947" s="2">
        <f>HYPERLINK("https://svao.dolgi.msk.ru/account/1760070604/", 1760070604)</f>
        <v>1760070604</v>
      </c>
      <c r="D6947">
        <v>925490.35</v>
      </c>
    </row>
    <row r="6948" spans="1:4" x14ac:dyDescent="0.25">
      <c r="A6948" t="s">
        <v>635</v>
      </c>
      <c r="B6948" t="s">
        <v>37</v>
      </c>
      <c r="C6948" s="2">
        <f>HYPERLINK("https://svao.dolgi.msk.ru/account/1760070612/", 1760070612)</f>
        <v>1760070612</v>
      </c>
      <c r="D6948">
        <v>3508.68</v>
      </c>
    </row>
    <row r="6949" spans="1:4" x14ac:dyDescent="0.25">
      <c r="A6949" t="s">
        <v>635</v>
      </c>
      <c r="B6949" t="s">
        <v>40</v>
      </c>
      <c r="C6949" s="2">
        <f>HYPERLINK("https://svao.dolgi.msk.ru/account/1760070639/", 1760070639)</f>
        <v>1760070639</v>
      </c>
      <c r="D6949">
        <v>6313.9</v>
      </c>
    </row>
    <row r="6950" spans="1:4" x14ac:dyDescent="0.25">
      <c r="A6950" t="s">
        <v>635</v>
      </c>
      <c r="B6950" t="s">
        <v>140</v>
      </c>
      <c r="C6950" s="2">
        <f>HYPERLINK("https://svao.dolgi.msk.ru/account/1760070655/", 1760070655)</f>
        <v>1760070655</v>
      </c>
      <c r="D6950">
        <v>7288.8</v>
      </c>
    </row>
    <row r="6951" spans="1:4" x14ac:dyDescent="0.25">
      <c r="A6951" t="s">
        <v>635</v>
      </c>
      <c r="B6951" t="s">
        <v>143</v>
      </c>
      <c r="C6951" s="2">
        <f>HYPERLINK("https://svao.dolgi.msk.ru/account/1760070735/", 1760070735)</f>
        <v>1760070735</v>
      </c>
      <c r="D6951">
        <v>742.06</v>
      </c>
    </row>
    <row r="6952" spans="1:4" x14ac:dyDescent="0.25">
      <c r="A6952" t="s">
        <v>635</v>
      </c>
      <c r="B6952" t="s">
        <v>45</v>
      </c>
      <c r="C6952" s="2">
        <f>HYPERLINK("https://svao.dolgi.msk.ru/account/1760070743/", 1760070743)</f>
        <v>1760070743</v>
      </c>
      <c r="D6952">
        <v>9407.7099999999991</v>
      </c>
    </row>
    <row r="6953" spans="1:4" x14ac:dyDescent="0.25">
      <c r="A6953" t="s">
        <v>635</v>
      </c>
      <c r="B6953" t="s">
        <v>301</v>
      </c>
      <c r="C6953" s="2">
        <f>HYPERLINK("https://svao.dolgi.msk.ru/account/1760070786/", 1760070786)</f>
        <v>1760070786</v>
      </c>
      <c r="D6953">
        <v>9330.2099999999991</v>
      </c>
    </row>
    <row r="6954" spans="1:4" x14ac:dyDescent="0.25">
      <c r="A6954" t="s">
        <v>635</v>
      </c>
      <c r="B6954" t="s">
        <v>46</v>
      </c>
      <c r="C6954" s="2">
        <f>HYPERLINK("https://svao.dolgi.msk.ru/account/1760070807/", 1760070807)</f>
        <v>1760070807</v>
      </c>
      <c r="D6954">
        <v>6903.72</v>
      </c>
    </row>
    <row r="6955" spans="1:4" x14ac:dyDescent="0.25">
      <c r="A6955" t="s">
        <v>635</v>
      </c>
      <c r="B6955" t="s">
        <v>145</v>
      </c>
      <c r="C6955" s="2">
        <f>HYPERLINK("https://svao.dolgi.msk.ru/account/1760070815/", 1760070815)</f>
        <v>1760070815</v>
      </c>
      <c r="D6955">
        <v>15217.25</v>
      </c>
    </row>
    <row r="6956" spans="1:4" x14ac:dyDescent="0.25">
      <c r="A6956" t="s">
        <v>635</v>
      </c>
      <c r="B6956" t="s">
        <v>47</v>
      </c>
      <c r="C6956" s="2">
        <f>HYPERLINK("https://svao.dolgi.msk.ru/account/1760070858/", 1760070858)</f>
        <v>1760070858</v>
      </c>
      <c r="D6956">
        <v>6503.06</v>
      </c>
    </row>
    <row r="6957" spans="1:4" x14ac:dyDescent="0.25">
      <c r="A6957" t="s">
        <v>635</v>
      </c>
      <c r="B6957" t="s">
        <v>48</v>
      </c>
      <c r="C6957" s="2">
        <f>HYPERLINK("https://svao.dolgi.msk.ru/account/1760070882/", 1760070882)</f>
        <v>1760070882</v>
      </c>
      <c r="D6957">
        <v>4246.09</v>
      </c>
    </row>
    <row r="6958" spans="1:4" x14ac:dyDescent="0.25">
      <c r="A6958" t="s">
        <v>635</v>
      </c>
      <c r="B6958" t="s">
        <v>147</v>
      </c>
      <c r="C6958" s="2">
        <f>HYPERLINK("https://svao.dolgi.msk.ru/account/1760070938/", 1760070938)</f>
        <v>1760070938</v>
      </c>
      <c r="D6958">
        <v>7627.71</v>
      </c>
    </row>
    <row r="6959" spans="1:4" x14ac:dyDescent="0.25">
      <c r="A6959" t="s">
        <v>635</v>
      </c>
      <c r="B6959" t="s">
        <v>251</v>
      </c>
      <c r="C6959" s="2">
        <f>HYPERLINK("https://svao.dolgi.msk.ru/account/1760070946/", 1760070946)</f>
        <v>1760070946</v>
      </c>
      <c r="D6959">
        <v>20789.93</v>
      </c>
    </row>
    <row r="6960" spans="1:4" x14ac:dyDescent="0.25">
      <c r="A6960" t="s">
        <v>635</v>
      </c>
      <c r="B6960" t="s">
        <v>252</v>
      </c>
      <c r="C6960" s="2">
        <f>HYPERLINK("https://svao.dolgi.msk.ru/account/1760070962/", 1760070962)</f>
        <v>1760070962</v>
      </c>
      <c r="D6960">
        <v>7628.42</v>
      </c>
    </row>
    <row r="6961" spans="1:4" x14ac:dyDescent="0.25">
      <c r="A6961" t="s">
        <v>635</v>
      </c>
      <c r="B6961" t="s">
        <v>52</v>
      </c>
      <c r="C6961" s="2">
        <f>HYPERLINK("https://svao.dolgi.msk.ru/account/1760071068/", 1760071068)</f>
        <v>1760071068</v>
      </c>
      <c r="D6961">
        <v>7909.65</v>
      </c>
    </row>
    <row r="6962" spans="1:4" x14ac:dyDescent="0.25">
      <c r="A6962" t="s">
        <v>635</v>
      </c>
      <c r="B6962" t="s">
        <v>148</v>
      </c>
      <c r="C6962" s="2">
        <f>HYPERLINK("https://svao.dolgi.msk.ru/account/1760071084/", 1760071084)</f>
        <v>1760071084</v>
      </c>
      <c r="D6962">
        <v>9637.76</v>
      </c>
    </row>
    <row r="6963" spans="1:4" x14ac:dyDescent="0.25">
      <c r="A6963" t="s">
        <v>635</v>
      </c>
      <c r="B6963" t="s">
        <v>150</v>
      </c>
      <c r="C6963" s="2">
        <f>HYPERLINK("https://svao.dolgi.msk.ru/account/1760071148/", 1760071148)</f>
        <v>1760071148</v>
      </c>
      <c r="D6963">
        <v>6762.89</v>
      </c>
    </row>
    <row r="6964" spans="1:4" x14ac:dyDescent="0.25">
      <c r="A6964" t="s">
        <v>635</v>
      </c>
      <c r="B6964" t="s">
        <v>150</v>
      </c>
      <c r="C6964" s="2">
        <f>HYPERLINK("https://svao.dolgi.msk.ru/account/1761793337/", 1761793337)</f>
        <v>1761793337</v>
      </c>
      <c r="D6964">
        <v>6762.89</v>
      </c>
    </row>
    <row r="6965" spans="1:4" x14ac:dyDescent="0.25">
      <c r="A6965" t="s">
        <v>636</v>
      </c>
      <c r="B6965" t="s">
        <v>6</v>
      </c>
      <c r="C6965" s="2">
        <f>HYPERLINK("https://svao.dolgi.msk.ru/account/1760074306/", 1760074306)</f>
        <v>1760074306</v>
      </c>
      <c r="D6965">
        <v>3011.73</v>
      </c>
    </row>
    <row r="6966" spans="1:4" x14ac:dyDescent="0.25">
      <c r="A6966" t="s">
        <v>636</v>
      </c>
      <c r="B6966" t="s">
        <v>101</v>
      </c>
      <c r="C6966" s="2">
        <f>HYPERLINK("https://svao.dolgi.msk.ru/account/1760074357/", 1760074357)</f>
        <v>1760074357</v>
      </c>
      <c r="D6966">
        <v>2271.31</v>
      </c>
    </row>
    <row r="6967" spans="1:4" x14ac:dyDescent="0.25">
      <c r="A6967" t="s">
        <v>636</v>
      </c>
      <c r="B6967" t="s">
        <v>102</v>
      </c>
      <c r="C6967" s="2">
        <f>HYPERLINK("https://svao.dolgi.msk.ru/account/1760074373/", 1760074373)</f>
        <v>1760074373</v>
      </c>
      <c r="D6967">
        <v>6395.56</v>
      </c>
    </row>
    <row r="6968" spans="1:4" x14ac:dyDescent="0.25">
      <c r="A6968" t="s">
        <v>636</v>
      </c>
      <c r="B6968" t="s">
        <v>103</v>
      </c>
      <c r="C6968" s="2">
        <f>HYPERLINK("https://svao.dolgi.msk.ru/account/1760074381/", 1760074381)</f>
        <v>1760074381</v>
      </c>
      <c r="D6968">
        <v>5627.05</v>
      </c>
    </row>
    <row r="6969" spans="1:4" x14ac:dyDescent="0.25">
      <c r="A6969" t="s">
        <v>636</v>
      </c>
      <c r="B6969" t="s">
        <v>73</v>
      </c>
      <c r="C6969" s="2">
        <f>HYPERLINK("https://svao.dolgi.msk.ru/account/1760074402/", 1760074402)</f>
        <v>1760074402</v>
      </c>
      <c r="D6969">
        <v>4523.4799999999996</v>
      </c>
    </row>
    <row r="6970" spans="1:4" x14ac:dyDescent="0.25">
      <c r="A6970" t="s">
        <v>636</v>
      </c>
      <c r="B6970" t="s">
        <v>104</v>
      </c>
      <c r="C6970" s="2">
        <f>HYPERLINK("https://svao.dolgi.msk.ru/account/1760074437/", 1760074437)</f>
        <v>1760074437</v>
      </c>
      <c r="D6970">
        <v>164978.96</v>
      </c>
    </row>
    <row r="6971" spans="1:4" x14ac:dyDescent="0.25">
      <c r="A6971" t="s">
        <v>636</v>
      </c>
      <c r="B6971" t="s">
        <v>8</v>
      </c>
      <c r="C6971" s="2">
        <f>HYPERLINK("https://svao.dolgi.msk.ru/account/1760074445/", 1760074445)</f>
        <v>1760074445</v>
      </c>
      <c r="D6971">
        <v>722.93</v>
      </c>
    </row>
    <row r="6972" spans="1:4" x14ac:dyDescent="0.25">
      <c r="A6972" t="s">
        <v>636</v>
      </c>
      <c r="B6972" t="s">
        <v>137</v>
      </c>
      <c r="C6972" s="2">
        <f>HYPERLINK("https://svao.dolgi.msk.ru/account/1760074461/", 1760074461)</f>
        <v>1760074461</v>
      </c>
      <c r="D6972">
        <v>28626.21</v>
      </c>
    </row>
    <row r="6973" spans="1:4" x14ac:dyDescent="0.25">
      <c r="A6973" t="s">
        <v>636</v>
      </c>
      <c r="B6973" t="s">
        <v>219</v>
      </c>
      <c r="C6973" s="2">
        <f>HYPERLINK("https://svao.dolgi.msk.ru/account/1760074525/", 1760074525)</f>
        <v>1760074525</v>
      </c>
      <c r="D6973">
        <v>23894.28</v>
      </c>
    </row>
    <row r="6974" spans="1:4" x14ac:dyDescent="0.25">
      <c r="A6974" t="s">
        <v>636</v>
      </c>
      <c r="B6974" t="s">
        <v>14</v>
      </c>
      <c r="C6974" s="2">
        <f>HYPERLINK("https://svao.dolgi.msk.ru/account/1760074584/", 1760074584)</f>
        <v>1760074584</v>
      </c>
      <c r="D6974">
        <v>6605.35</v>
      </c>
    </row>
    <row r="6975" spans="1:4" x14ac:dyDescent="0.25">
      <c r="A6975" t="s">
        <v>636</v>
      </c>
      <c r="B6975" t="s">
        <v>110</v>
      </c>
      <c r="C6975" s="2">
        <f>HYPERLINK("https://svao.dolgi.msk.ru/account/1760074736/", 1760074736)</f>
        <v>1760074736</v>
      </c>
      <c r="D6975">
        <v>23719.919999999998</v>
      </c>
    </row>
    <row r="6976" spans="1:4" x14ac:dyDescent="0.25">
      <c r="A6976" t="s">
        <v>636</v>
      </c>
      <c r="B6976" t="s">
        <v>110</v>
      </c>
      <c r="C6976" s="2">
        <f>HYPERLINK("https://svao.dolgi.msk.ru/account/1760074744/", 1760074744)</f>
        <v>1760074744</v>
      </c>
      <c r="D6976">
        <v>9338.31</v>
      </c>
    </row>
    <row r="6977" spans="1:4" x14ac:dyDescent="0.25">
      <c r="A6977" t="s">
        <v>636</v>
      </c>
      <c r="B6977" t="s">
        <v>94</v>
      </c>
      <c r="C6977" s="2">
        <f>HYPERLINK("https://svao.dolgi.msk.ru/account/1760074824/", 1760074824)</f>
        <v>1760074824</v>
      </c>
      <c r="D6977">
        <v>4357.47</v>
      </c>
    </row>
    <row r="6978" spans="1:4" x14ac:dyDescent="0.25">
      <c r="A6978" t="s">
        <v>636</v>
      </c>
      <c r="B6978" t="s">
        <v>113</v>
      </c>
      <c r="C6978" s="2">
        <f>HYPERLINK("https://svao.dolgi.msk.ru/account/1760074859/", 1760074859)</f>
        <v>1760074859</v>
      </c>
      <c r="D6978">
        <v>12800.03</v>
      </c>
    </row>
    <row r="6979" spans="1:4" x14ac:dyDescent="0.25">
      <c r="A6979" t="s">
        <v>636</v>
      </c>
      <c r="B6979" t="s">
        <v>114</v>
      </c>
      <c r="C6979" s="2">
        <f>HYPERLINK("https://svao.dolgi.msk.ru/account/1760074883/", 1760074883)</f>
        <v>1760074883</v>
      </c>
      <c r="D6979">
        <v>3664.82</v>
      </c>
    </row>
    <row r="6980" spans="1:4" x14ac:dyDescent="0.25">
      <c r="A6980" t="s">
        <v>636</v>
      </c>
      <c r="B6980" t="s">
        <v>78</v>
      </c>
      <c r="C6980" s="2">
        <f>HYPERLINK("https://svao.dolgi.msk.ru/account/1760074891/", 1760074891)</f>
        <v>1760074891</v>
      </c>
      <c r="D6980">
        <v>8914.74</v>
      </c>
    </row>
    <row r="6981" spans="1:4" x14ac:dyDescent="0.25">
      <c r="A6981" t="s">
        <v>636</v>
      </c>
      <c r="B6981" t="s">
        <v>23</v>
      </c>
      <c r="C6981" s="2">
        <f>HYPERLINK("https://svao.dolgi.msk.ru/account/1760074939/", 1760074939)</f>
        <v>1760074939</v>
      </c>
      <c r="D6981">
        <v>4564.58</v>
      </c>
    </row>
    <row r="6982" spans="1:4" x14ac:dyDescent="0.25">
      <c r="A6982" t="s">
        <v>636</v>
      </c>
      <c r="B6982" t="s">
        <v>320</v>
      </c>
      <c r="C6982" s="2">
        <f>HYPERLINK("https://svao.dolgi.msk.ru/account/1760075018/", 1760075018)</f>
        <v>1760075018</v>
      </c>
      <c r="D6982">
        <v>897122.13</v>
      </c>
    </row>
    <row r="6983" spans="1:4" x14ac:dyDescent="0.25">
      <c r="A6983" t="s">
        <v>636</v>
      </c>
      <c r="B6983" t="s">
        <v>24</v>
      </c>
      <c r="C6983" s="2">
        <f>HYPERLINK("https://svao.dolgi.msk.ru/account/1760075026/", 1760075026)</f>
        <v>1760075026</v>
      </c>
      <c r="D6983">
        <v>7156.46</v>
      </c>
    </row>
    <row r="6984" spans="1:4" x14ac:dyDescent="0.25">
      <c r="A6984" t="s">
        <v>636</v>
      </c>
      <c r="B6984" t="s">
        <v>314</v>
      </c>
      <c r="C6984" s="2">
        <f>HYPERLINK("https://svao.dolgi.msk.ru/account/1760075034/", 1760075034)</f>
        <v>1760075034</v>
      </c>
      <c r="D6984">
        <v>9736.75</v>
      </c>
    </row>
    <row r="6985" spans="1:4" x14ac:dyDescent="0.25">
      <c r="A6985" t="s">
        <v>636</v>
      </c>
      <c r="B6985" t="s">
        <v>125</v>
      </c>
      <c r="C6985" s="2">
        <f>HYPERLINK("https://svao.dolgi.msk.ru/account/1760075085/", 1760075085)</f>
        <v>1760075085</v>
      </c>
      <c r="D6985">
        <v>26406.18</v>
      </c>
    </row>
    <row r="6986" spans="1:4" x14ac:dyDescent="0.25">
      <c r="A6986" t="s">
        <v>636</v>
      </c>
      <c r="B6986" t="s">
        <v>126</v>
      </c>
      <c r="C6986" s="2">
        <f>HYPERLINK("https://svao.dolgi.msk.ru/account/1760075093/", 1760075093)</f>
        <v>1760075093</v>
      </c>
      <c r="D6986">
        <v>8224.94</v>
      </c>
    </row>
    <row r="6987" spans="1:4" x14ac:dyDescent="0.25">
      <c r="A6987" t="s">
        <v>636</v>
      </c>
      <c r="B6987" t="s">
        <v>118</v>
      </c>
      <c r="C6987" s="2">
        <f>HYPERLINK("https://svao.dolgi.msk.ru/account/1760075114/", 1760075114)</f>
        <v>1760075114</v>
      </c>
      <c r="D6987">
        <v>5122.8100000000004</v>
      </c>
    </row>
    <row r="6988" spans="1:4" x14ac:dyDescent="0.25">
      <c r="A6988" t="s">
        <v>636</v>
      </c>
      <c r="B6988" t="s">
        <v>127</v>
      </c>
      <c r="C6988" s="2">
        <f>HYPERLINK("https://svao.dolgi.msk.ru/account/1760075122/", 1760075122)</f>
        <v>1760075122</v>
      </c>
      <c r="D6988">
        <v>7842.95</v>
      </c>
    </row>
    <row r="6989" spans="1:4" x14ac:dyDescent="0.25">
      <c r="A6989" t="s">
        <v>636</v>
      </c>
      <c r="B6989" t="s">
        <v>119</v>
      </c>
      <c r="C6989" s="2">
        <f>HYPERLINK("https://svao.dolgi.msk.ru/account/1760075157/", 1760075157)</f>
        <v>1760075157</v>
      </c>
      <c r="D6989">
        <v>11077.68</v>
      </c>
    </row>
    <row r="6990" spans="1:4" x14ac:dyDescent="0.25">
      <c r="A6990" t="s">
        <v>636</v>
      </c>
      <c r="B6990" t="s">
        <v>25</v>
      </c>
      <c r="C6990" s="2">
        <f>HYPERLINK("https://svao.dolgi.msk.ru/account/1760075229/", 1760075229)</f>
        <v>1760075229</v>
      </c>
      <c r="D6990">
        <v>10832.34</v>
      </c>
    </row>
    <row r="6991" spans="1:4" x14ac:dyDescent="0.25">
      <c r="A6991" t="s">
        <v>636</v>
      </c>
      <c r="B6991" t="s">
        <v>83</v>
      </c>
      <c r="C6991" s="2">
        <f>HYPERLINK("https://svao.dolgi.msk.ru/account/1760075245/", 1760075245)</f>
        <v>1760075245</v>
      </c>
      <c r="D6991">
        <v>6972.21</v>
      </c>
    </row>
    <row r="6992" spans="1:4" x14ac:dyDescent="0.25">
      <c r="A6992" t="s">
        <v>636</v>
      </c>
      <c r="B6992" t="s">
        <v>132</v>
      </c>
      <c r="C6992" s="2">
        <f>HYPERLINK("https://svao.dolgi.msk.ru/account/1760075253/", 1760075253)</f>
        <v>1760075253</v>
      </c>
      <c r="D6992">
        <v>6154.59</v>
      </c>
    </row>
    <row r="6993" spans="1:4" x14ac:dyDescent="0.25">
      <c r="A6993" t="s">
        <v>636</v>
      </c>
      <c r="B6993" t="s">
        <v>133</v>
      </c>
      <c r="C6993" s="2">
        <f>HYPERLINK("https://svao.dolgi.msk.ru/account/1760075288/", 1760075288)</f>
        <v>1760075288</v>
      </c>
      <c r="D6993">
        <v>7509.47</v>
      </c>
    </row>
    <row r="6994" spans="1:4" x14ac:dyDescent="0.25">
      <c r="A6994" t="s">
        <v>636</v>
      </c>
      <c r="B6994" t="s">
        <v>139</v>
      </c>
      <c r="C6994" s="2">
        <f>HYPERLINK("https://svao.dolgi.msk.ru/account/1760075384/", 1760075384)</f>
        <v>1760075384</v>
      </c>
      <c r="D6994">
        <v>3257.33</v>
      </c>
    </row>
    <row r="6995" spans="1:4" x14ac:dyDescent="0.25">
      <c r="A6995" t="s">
        <v>636</v>
      </c>
      <c r="B6995" t="s">
        <v>129</v>
      </c>
      <c r="C6995" s="2">
        <f>HYPERLINK("https://svao.dolgi.msk.ru/account/1760075421/", 1760075421)</f>
        <v>1760075421</v>
      </c>
      <c r="D6995">
        <v>2867.63</v>
      </c>
    </row>
    <row r="6996" spans="1:4" x14ac:dyDescent="0.25">
      <c r="A6996" t="s">
        <v>636</v>
      </c>
      <c r="B6996" t="s">
        <v>31</v>
      </c>
      <c r="C6996" s="2">
        <f>HYPERLINK("https://svao.dolgi.msk.ru/account/1760075501/", 1760075501)</f>
        <v>1760075501</v>
      </c>
      <c r="D6996">
        <v>4689.6099999999997</v>
      </c>
    </row>
    <row r="6997" spans="1:4" x14ac:dyDescent="0.25">
      <c r="A6997" t="s">
        <v>636</v>
      </c>
      <c r="B6997" t="s">
        <v>291</v>
      </c>
      <c r="C6997" s="2">
        <f>HYPERLINK("https://svao.dolgi.msk.ru/account/1760075536/", 1760075536)</f>
        <v>1760075536</v>
      </c>
      <c r="D6997">
        <v>9239.42</v>
      </c>
    </row>
    <row r="6998" spans="1:4" x14ac:dyDescent="0.25">
      <c r="A6998" t="s">
        <v>636</v>
      </c>
      <c r="B6998" t="s">
        <v>34</v>
      </c>
      <c r="C6998" s="2">
        <f>HYPERLINK("https://svao.dolgi.msk.ru/account/1760075595/", 1760075595)</f>
        <v>1760075595</v>
      </c>
      <c r="D6998">
        <v>2692.39</v>
      </c>
    </row>
    <row r="6999" spans="1:4" x14ac:dyDescent="0.25">
      <c r="A6999" t="s">
        <v>636</v>
      </c>
      <c r="B6999" t="s">
        <v>88</v>
      </c>
      <c r="C6999" s="2">
        <f>HYPERLINK("https://svao.dolgi.msk.ru/account/1760075704/", 1760075704)</f>
        <v>1760075704</v>
      </c>
      <c r="D6999">
        <v>6425.47</v>
      </c>
    </row>
    <row r="7000" spans="1:4" x14ac:dyDescent="0.25">
      <c r="A7000" t="s">
        <v>636</v>
      </c>
      <c r="B7000" t="s">
        <v>304</v>
      </c>
      <c r="C7000" s="2">
        <f>HYPERLINK("https://svao.dolgi.msk.ru/account/1760075739/", 1760075739)</f>
        <v>1760075739</v>
      </c>
      <c r="D7000">
        <v>6694.17</v>
      </c>
    </row>
    <row r="7001" spans="1:4" x14ac:dyDescent="0.25">
      <c r="A7001" t="s">
        <v>636</v>
      </c>
      <c r="B7001" t="s">
        <v>37</v>
      </c>
      <c r="C7001" s="2">
        <f>HYPERLINK("https://svao.dolgi.msk.ru/account/1760075747/", 1760075747)</f>
        <v>1760075747</v>
      </c>
      <c r="D7001">
        <v>8369.5</v>
      </c>
    </row>
    <row r="7002" spans="1:4" x14ac:dyDescent="0.25">
      <c r="A7002" t="s">
        <v>636</v>
      </c>
      <c r="B7002" t="s">
        <v>38</v>
      </c>
      <c r="C7002" s="2">
        <f>HYPERLINK("https://svao.dolgi.msk.ru/account/1760075755/", 1760075755)</f>
        <v>1760075755</v>
      </c>
      <c r="D7002">
        <v>70098.350000000006</v>
      </c>
    </row>
    <row r="7003" spans="1:4" x14ac:dyDescent="0.25">
      <c r="A7003" t="s">
        <v>636</v>
      </c>
      <c r="B7003" t="s">
        <v>246</v>
      </c>
      <c r="C7003" s="2">
        <f>HYPERLINK("https://svao.dolgi.msk.ru/account/1760075763/", 1760075763)</f>
        <v>1760075763</v>
      </c>
      <c r="D7003">
        <v>5913.81</v>
      </c>
    </row>
    <row r="7004" spans="1:4" x14ac:dyDescent="0.25">
      <c r="A7004" t="s">
        <v>636</v>
      </c>
      <c r="B7004" t="s">
        <v>43</v>
      </c>
      <c r="C7004" s="2">
        <f>HYPERLINK("https://svao.dolgi.msk.ru/account/1760075798/", 1760075798)</f>
        <v>1760075798</v>
      </c>
      <c r="D7004">
        <v>53262.92</v>
      </c>
    </row>
    <row r="7005" spans="1:4" x14ac:dyDescent="0.25">
      <c r="A7005" t="s">
        <v>636</v>
      </c>
      <c r="B7005" t="s">
        <v>44</v>
      </c>
      <c r="C7005" s="2">
        <f>HYPERLINK("https://svao.dolgi.msk.ru/account/1760076336/", 1760076336)</f>
        <v>1760076336</v>
      </c>
      <c r="D7005">
        <v>255.24</v>
      </c>
    </row>
    <row r="7006" spans="1:4" x14ac:dyDescent="0.25">
      <c r="A7006" t="s">
        <v>636</v>
      </c>
      <c r="B7006" t="s">
        <v>142</v>
      </c>
      <c r="C7006" s="2">
        <f>HYPERLINK("https://svao.dolgi.msk.ru/account/1760075843/", 1760075843)</f>
        <v>1760075843</v>
      </c>
      <c r="D7006">
        <v>18795.93</v>
      </c>
    </row>
    <row r="7007" spans="1:4" x14ac:dyDescent="0.25">
      <c r="A7007" t="s">
        <v>636</v>
      </c>
      <c r="B7007" t="s">
        <v>315</v>
      </c>
      <c r="C7007" s="2">
        <f>HYPERLINK("https://svao.dolgi.msk.ru/account/1760075931/", 1760075931)</f>
        <v>1760075931</v>
      </c>
      <c r="D7007">
        <v>2113.67</v>
      </c>
    </row>
    <row r="7008" spans="1:4" x14ac:dyDescent="0.25">
      <c r="A7008" t="s">
        <v>636</v>
      </c>
      <c r="B7008" t="s">
        <v>339</v>
      </c>
      <c r="C7008" s="2">
        <f>HYPERLINK("https://svao.dolgi.msk.ru/account/1760076037/", 1760076037)</f>
        <v>1760076037</v>
      </c>
      <c r="D7008">
        <v>23321.33</v>
      </c>
    </row>
    <row r="7009" spans="1:4" x14ac:dyDescent="0.25">
      <c r="A7009" t="s">
        <v>636</v>
      </c>
      <c r="B7009" t="s">
        <v>47</v>
      </c>
      <c r="C7009" s="2">
        <f>HYPERLINK("https://svao.dolgi.msk.ru/account/1760076045/", 1760076045)</f>
        <v>1760076045</v>
      </c>
      <c r="D7009">
        <v>633478.67000000004</v>
      </c>
    </row>
    <row r="7010" spans="1:4" x14ac:dyDescent="0.25">
      <c r="A7010" t="s">
        <v>636</v>
      </c>
      <c r="B7010" t="s">
        <v>146</v>
      </c>
      <c r="C7010" s="2">
        <f>HYPERLINK("https://svao.dolgi.msk.ru/account/1760076061/", 1760076061)</f>
        <v>1760076061</v>
      </c>
      <c r="D7010">
        <v>4617.57</v>
      </c>
    </row>
    <row r="7011" spans="1:4" x14ac:dyDescent="0.25">
      <c r="A7011" t="s">
        <v>636</v>
      </c>
      <c r="B7011" t="s">
        <v>49</v>
      </c>
      <c r="C7011" s="2">
        <f>HYPERLINK("https://svao.dolgi.msk.ru/account/1760076096/", 1760076096)</f>
        <v>1760076096</v>
      </c>
      <c r="D7011">
        <v>11136.8</v>
      </c>
    </row>
    <row r="7012" spans="1:4" x14ac:dyDescent="0.25">
      <c r="A7012" t="s">
        <v>636</v>
      </c>
      <c r="B7012" t="s">
        <v>294</v>
      </c>
      <c r="C7012" s="2">
        <f>HYPERLINK("https://svao.dolgi.msk.ru/account/1760076109/", 1760076109)</f>
        <v>1760076109</v>
      </c>
      <c r="D7012">
        <v>335243.33</v>
      </c>
    </row>
    <row r="7013" spans="1:4" x14ac:dyDescent="0.25">
      <c r="A7013" t="s">
        <v>636</v>
      </c>
      <c r="B7013" t="s">
        <v>306</v>
      </c>
      <c r="C7013" s="2">
        <f>HYPERLINK("https://svao.dolgi.msk.ru/account/1760076168/", 1760076168)</f>
        <v>1760076168</v>
      </c>
      <c r="D7013">
        <v>21831.87</v>
      </c>
    </row>
    <row r="7014" spans="1:4" x14ac:dyDescent="0.25">
      <c r="A7014" t="s">
        <v>636</v>
      </c>
      <c r="B7014" t="s">
        <v>334</v>
      </c>
      <c r="C7014" s="2">
        <f>HYPERLINK("https://svao.dolgi.msk.ru/account/1760076192/", 1760076192)</f>
        <v>1760076192</v>
      </c>
      <c r="D7014">
        <v>5674.25</v>
      </c>
    </row>
    <row r="7015" spans="1:4" x14ac:dyDescent="0.25">
      <c r="A7015" t="s">
        <v>636</v>
      </c>
      <c r="B7015" t="s">
        <v>149</v>
      </c>
      <c r="C7015" s="2">
        <f>HYPERLINK("https://svao.dolgi.msk.ru/account/1760076264/", 1760076264)</f>
        <v>1760076264</v>
      </c>
      <c r="D7015">
        <v>5335.47</v>
      </c>
    </row>
    <row r="7016" spans="1:4" x14ac:dyDescent="0.25">
      <c r="A7016" t="s">
        <v>636</v>
      </c>
      <c r="B7016" t="s">
        <v>151</v>
      </c>
      <c r="C7016" s="2">
        <f>HYPERLINK("https://svao.dolgi.msk.ru/account/1761768262/", 1761768262)</f>
        <v>1761768262</v>
      </c>
      <c r="D7016">
        <v>386</v>
      </c>
    </row>
    <row r="7017" spans="1:4" x14ac:dyDescent="0.25">
      <c r="A7017" t="s">
        <v>636</v>
      </c>
      <c r="B7017" t="s">
        <v>296</v>
      </c>
      <c r="C7017" s="2">
        <f>HYPERLINK("https://svao.dolgi.msk.ru/account/1760076344/", 1760076344)</f>
        <v>1760076344</v>
      </c>
      <c r="D7017">
        <v>8293.48</v>
      </c>
    </row>
    <row r="7018" spans="1:4" x14ac:dyDescent="0.25">
      <c r="A7018" t="s">
        <v>636</v>
      </c>
      <c r="B7018" t="s">
        <v>54</v>
      </c>
      <c r="C7018" s="2">
        <f>HYPERLINK("https://svao.dolgi.msk.ru/account/1760076416/", 1760076416)</f>
        <v>1760076416</v>
      </c>
      <c r="D7018">
        <v>7964.86</v>
      </c>
    </row>
    <row r="7019" spans="1:4" x14ac:dyDescent="0.25">
      <c r="A7019" t="s">
        <v>636</v>
      </c>
      <c r="B7019" t="s">
        <v>308</v>
      </c>
      <c r="C7019" s="2">
        <f>HYPERLINK("https://svao.dolgi.msk.ru/account/1760076432/", 1760076432)</f>
        <v>1760076432</v>
      </c>
      <c r="D7019">
        <v>8506.19</v>
      </c>
    </row>
    <row r="7020" spans="1:4" x14ac:dyDescent="0.25">
      <c r="A7020" t="s">
        <v>636</v>
      </c>
      <c r="B7020" t="s">
        <v>254</v>
      </c>
      <c r="C7020" s="2">
        <f>HYPERLINK("https://svao.dolgi.msk.ru/account/1760076467/", 1760076467)</f>
        <v>1760076467</v>
      </c>
      <c r="D7020">
        <v>5223.01</v>
      </c>
    </row>
    <row r="7021" spans="1:4" x14ac:dyDescent="0.25">
      <c r="A7021" t="s">
        <v>636</v>
      </c>
      <c r="B7021" t="s">
        <v>255</v>
      </c>
      <c r="C7021" s="2">
        <f>HYPERLINK("https://svao.dolgi.msk.ru/account/1760076483/", 1760076483)</f>
        <v>1760076483</v>
      </c>
      <c r="D7021">
        <v>11795.22</v>
      </c>
    </row>
    <row r="7022" spans="1:4" x14ac:dyDescent="0.25">
      <c r="A7022" t="s">
        <v>636</v>
      </c>
      <c r="B7022" t="s">
        <v>55</v>
      </c>
      <c r="C7022" s="2">
        <f>HYPERLINK("https://svao.dolgi.msk.ru/account/1760076491/", 1760076491)</f>
        <v>1760076491</v>
      </c>
      <c r="D7022">
        <v>12486.45</v>
      </c>
    </row>
    <row r="7023" spans="1:4" x14ac:dyDescent="0.25">
      <c r="A7023" t="s">
        <v>636</v>
      </c>
      <c r="B7023" t="s">
        <v>298</v>
      </c>
      <c r="C7023" s="2">
        <f>HYPERLINK("https://svao.dolgi.msk.ru/account/1760076539/", 1760076539)</f>
        <v>1760076539</v>
      </c>
      <c r="D7023">
        <v>4530.22</v>
      </c>
    </row>
    <row r="7024" spans="1:4" x14ac:dyDescent="0.25">
      <c r="A7024" t="s">
        <v>637</v>
      </c>
      <c r="B7024" t="s">
        <v>41</v>
      </c>
      <c r="C7024" s="2">
        <f>HYPERLINK("https://svao.dolgi.msk.ru/account/1760081143/", 1760081143)</f>
        <v>1760081143</v>
      </c>
      <c r="D7024">
        <v>6436.64</v>
      </c>
    </row>
    <row r="7025" spans="1:4" x14ac:dyDescent="0.25">
      <c r="A7025" t="s">
        <v>637</v>
      </c>
      <c r="B7025" t="s">
        <v>7</v>
      </c>
      <c r="C7025" s="2">
        <f>HYPERLINK("https://svao.dolgi.msk.ru/account/1760081178/", 1760081178)</f>
        <v>1760081178</v>
      </c>
      <c r="D7025">
        <v>6546.49</v>
      </c>
    </row>
    <row r="7026" spans="1:4" x14ac:dyDescent="0.25">
      <c r="A7026" t="s">
        <v>637</v>
      </c>
      <c r="B7026" t="s">
        <v>103</v>
      </c>
      <c r="C7026" s="2">
        <f>HYPERLINK("https://svao.dolgi.msk.ru/account/1760081215/", 1760081215)</f>
        <v>1760081215</v>
      </c>
      <c r="D7026">
        <v>5767.15</v>
      </c>
    </row>
    <row r="7027" spans="1:4" x14ac:dyDescent="0.25">
      <c r="A7027" t="s">
        <v>637</v>
      </c>
      <c r="B7027" t="s">
        <v>12</v>
      </c>
      <c r="C7027" s="2">
        <f>HYPERLINK("https://svao.dolgi.msk.ru/account/1760081397/", 1760081397)</f>
        <v>1760081397</v>
      </c>
      <c r="D7027">
        <v>11279.45</v>
      </c>
    </row>
    <row r="7028" spans="1:4" x14ac:dyDescent="0.25">
      <c r="A7028" t="s">
        <v>637</v>
      </c>
      <c r="B7028" t="s">
        <v>13</v>
      </c>
      <c r="C7028" s="2">
        <f>HYPERLINK("https://svao.dolgi.msk.ru/account/1760081418/", 1760081418)</f>
        <v>1760081418</v>
      </c>
      <c r="D7028">
        <v>2861.38</v>
      </c>
    </row>
    <row r="7029" spans="1:4" x14ac:dyDescent="0.25">
      <c r="A7029" t="s">
        <v>637</v>
      </c>
      <c r="B7029" t="s">
        <v>106</v>
      </c>
      <c r="C7029" s="2">
        <f>HYPERLINK("https://svao.dolgi.msk.ru/account/1760081434/", 1760081434)</f>
        <v>1760081434</v>
      </c>
      <c r="D7029">
        <v>6997.33</v>
      </c>
    </row>
    <row r="7030" spans="1:4" x14ac:dyDescent="0.25">
      <c r="A7030" t="s">
        <v>637</v>
      </c>
      <c r="B7030" t="s">
        <v>107</v>
      </c>
      <c r="C7030" s="2">
        <f>HYPERLINK("https://svao.dolgi.msk.ru/account/1760081442/", 1760081442)</f>
        <v>1760081442</v>
      </c>
      <c r="D7030">
        <v>852.9</v>
      </c>
    </row>
    <row r="7031" spans="1:4" x14ac:dyDescent="0.25">
      <c r="A7031" t="s">
        <v>637</v>
      </c>
      <c r="B7031" t="s">
        <v>108</v>
      </c>
      <c r="C7031" s="2">
        <f>HYPERLINK("https://svao.dolgi.msk.ru/account/1760081477/", 1760081477)</f>
        <v>1760081477</v>
      </c>
      <c r="D7031">
        <v>90613.759999999995</v>
      </c>
    </row>
    <row r="7032" spans="1:4" x14ac:dyDescent="0.25">
      <c r="A7032" t="s">
        <v>637</v>
      </c>
      <c r="B7032" t="s">
        <v>108</v>
      </c>
      <c r="C7032" s="2">
        <f>HYPERLINK("https://svao.dolgi.msk.ru/account/1760271836/", 1760271836)</f>
        <v>1760271836</v>
      </c>
      <c r="D7032">
        <v>6216.66</v>
      </c>
    </row>
    <row r="7033" spans="1:4" x14ac:dyDescent="0.25">
      <c r="A7033" t="s">
        <v>637</v>
      </c>
      <c r="B7033" t="s">
        <v>110</v>
      </c>
      <c r="C7033" s="2">
        <f>HYPERLINK("https://svao.dolgi.msk.ru/account/1760081549/", 1760081549)</f>
        <v>1760081549</v>
      </c>
      <c r="D7033">
        <v>207745.29</v>
      </c>
    </row>
    <row r="7034" spans="1:4" x14ac:dyDescent="0.25">
      <c r="A7034" t="s">
        <v>637</v>
      </c>
      <c r="B7034" t="s">
        <v>110</v>
      </c>
      <c r="C7034" s="2">
        <f>HYPERLINK("https://svao.dolgi.msk.ru/account/1761794006/", 1761794006)</f>
        <v>1761794006</v>
      </c>
      <c r="D7034">
        <v>117823.43</v>
      </c>
    </row>
    <row r="7035" spans="1:4" x14ac:dyDescent="0.25">
      <c r="A7035" t="s">
        <v>637</v>
      </c>
      <c r="B7035" t="s">
        <v>112</v>
      </c>
      <c r="C7035" s="2">
        <f>HYPERLINK("https://svao.dolgi.msk.ru/account/1760081637/", 1760081637)</f>
        <v>1760081637</v>
      </c>
      <c r="D7035">
        <v>859.27</v>
      </c>
    </row>
    <row r="7036" spans="1:4" x14ac:dyDescent="0.25">
      <c r="A7036" t="s">
        <v>637</v>
      </c>
      <c r="B7036" t="s">
        <v>113</v>
      </c>
      <c r="C7036" s="2">
        <f>HYPERLINK("https://svao.dolgi.msk.ru/account/1760081645/", 1760081645)</f>
        <v>1760081645</v>
      </c>
      <c r="D7036">
        <v>16343.27</v>
      </c>
    </row>
    <row r="7037" spans="1:4" x14ac:dyDescent="0.25">
      <c r="A7037" t="s">
        <v>637</v>
      </c>
      <c r="B7037" t="s">
        <v>78</v>
      </c>
      <c r="C7037" s="2">
        <f>HYPERLINK("https://svao.dolgi.msk.ru/account/1760081696/", 1760081696)</f>
        <v>1760081696</v>
      </c>
      <c r="D7037">
        <v>5864.81</v>
      </c>
    </row>
    <row r="7038" spans="1:4" x14ac:dyDescent="0.25">
      <c r="A7038" t="s">
        <v>637</v>
      </c>
      <c r="B7038" t="s">
        <v>79</v>
      </c>
      <c r="C7038" s="2">
        <f>HYPERLINK("https://svao.dolgi.msk.ru/account/1760081717/", 1760081717)</f>
        <v>1760081717</v>
      </c>
      <c r="D7038">
        <v>6067.54</v>
      </c>
    </row>
    <row r="7039" spans="1:4" x14ac:dyDescent="0.25">
      <c r="A7039" t="s">
        <v>637</v>
      </c>
      <c r="B7039" t="s">
        <v>23</v>
      </c>
      <c r="C7039" s="2">
        <f>HYPERLINK("https://svao.dolgi.msk.ru/account/1760081725/", 1760081725)</f>
        <v>1760081725</v>
      </c>
      <c r="D7039">
        <v>4535</v>
      </c>
    </row>
    <row r="7040" spans="1:4" x14ac:dyDescent="0.25">
      <c r="A7040" t="s">
        <v>637</v>
      </c>
      <c r="B7040" t="s">
        <v>124</v>
      </c>
      <c r="C7040" s="2">
        <f>HYPERLINK("https://svao.dolgi.msk.ru/account/1760081733/", 1760081733)</f>
        <v>1760081733</v>
      </c>
      <c r="D7040">
        <v>12821.75</v>
      </c>
    </row>
    <row r="7041" spans="1:4" x14ac:dyDescent="0.25">
      <c r="A7041" t="s">
        <v>637</v>
      </c>
      <c r="B7041" t="s">
        <v>131</v>
      </c>
      <c r="C7041" s="2">
        <f>HYPERLINK("https://svao.dolgi.msk.ru/account/1760081856/", 1760081856)</f>
        <v>1760081856</v>
      </c>
      <c r="D7041">
        <v>12146.25</v>
      </c>
    </row>
    <row r="7042" spans="1:4" x14ac:dyDescent="0.25">
      <c r="A7042" t="s">
        <v>637</v>
      </c>
      <c r="B7042" t="s">
        <v>125</v>
      </c>
      <c r="C7042" s="2">
        <f>HYPERLINK("https://svao.dolgi.msk.ru/account/1760081864/", 1760081864)</f>
        <v>1760081864</v>
      </c>
      <c r="D7042">
        <v>66824.009999999995</v>
      </c>
    </row>
    <row r="7043" spans="1:4" x14ac:dyDescent="0.25">
      <c r="A7043" t="s">
        <v>637</v>
      </c>
      <c r="B7043" t="s">
        <v>126</v>
      </c>
      <c r="C7043" s="2">
        <f>HYPERLINK("https://svao.dolgi.msk.ru/account/1760081872/", 1760081872)</f>
        <v>1760081872</v>
      </c>
      <c r="D7043">
        <v>9088.0300000000007</v>
      </c>
    </row>
    <row r="7044" spans="1:4" x14ac:dyDescent="0.25">
      <c r="A7044" t="s">
        <v>637</v>
      </c>
      <c r="B7044" t="s">
        <v>81</v>
      </c>
      <c r="C7044" s="2">
        <f>HYPERLINK("https://svao.dolgi.msk.ru/account/1760081936/", 1760081936)</f>
        <v>1760081936</v>
      </c>
      <c r="D7044">
        <v>1954.86</v>
      </c>
    </row>
    <row r="7045" spans="1:4" x14ac:dyDescent="0.25">
      <c r="A7045" t="s">
        <v>637</v>
      </c>
      <c r="B7045" t="s">
        <v>133</v>
      </c>
      <c r="C7045" s="2">
        <f>HYPERLINK("https://svao.dolgi.msk.ru/account/1760082066/", 1760082066)</f>
        <v>1760082066</v>
      </c>
      <c r="D7045">
        <v>5930.71</v>
      </c>
    </row>
    <row r="7046" spans="1:4" x14ac:dyDescent="0.25">
      <c r="A7046" t="s">
        <v>637</v>
      </c>
      <c r="B7046" t="s">
        <v>27</v>
      </c>
      <c r="C7046" s="2">
        <f>HYPERLINK("https://svao.dolgi.msk.ru/account/1760082082/", 1760082082)</f>
        <v>1760082082</v>
      </c>
      <c r="D7046">
        <v>2115.19</v>
      </c>
    </row>
    <row r="7047" spans="1:4" x14ac:dyDescent="0.25">
      <c r="A7047" t="s">
        <v>637</v>
      </c>
      <c r="B7047" t="s">
        <v>121</v>
      </c>
      <c r="C7047" s="2">
        <f>HYPERLINK("https://svao.dolgi.msk.ru/account/1760082146/", 1760082146)</f>
        <v>1760082146</v>
      </c>
      <c r="D7047">
        <v>5729.1</v>
      </c>
    </row>
    <row r="7048" spans="1:4" x14ac:dyDescent="0.25">
      <c r="A7048" t="s">
        <v>637</v>
      </c>
      <c r="B7048" t="s">
        <v>30</v>
      </c>
      <c r="C7048" s="2">
        <f>HYPERLINK("https://svao.dolgi.msk.ru/account/1760082293/", 1760082293)</f>
        <v>1760082293</v>
      </c>
      <c r="D7048">
        <v>8230.02</v>
      </c>
    </row>
    <row r="7049" spans="1:4" x14ac:dyDescent="0.25">
      <c r="A7049" t="s">
        <v>637</v>
      </c>
      <c r="B7049" t="s">
        <v>97</v>
      </c>
      <c r="C7049" s="2">
        <f>HYPERLINK("https://svao.dolgi.msk.ru/account/1760082306/", 1760082306)</f>
        <v>1760082306</v>
      </c>
      <c r="D7049">
        <v>6789.16</v>
      </c>
    </row>
    <row r="7050" spans="1:4" x14ac:dyDescent="0.25">
      <c r="A7050" t="s">
        <v>637</v>
      </c>
      <c r="B7050" t="s">
        <v>98</v>
      </c>
      <c r="C7050" s="2">
        <f>HYPERLINK("https://svao.dolgi.msk.ru/account/1760082357/", 1760082357)</f>
        <v>1760082357</v>
      </c>
      <c r="D7050">
        <v>7829.32</v>
      </c>
    </row>
    <row r="7051" spans="1:4" x14ac:dyDescent="0.25">
      <c r="A7051" t="s">
        <v>637</v>
      </c>
      <c r="B7051" t="s">
        <v>245</v>
      </c>
      <c r="C7051" s="2">
        <f>HYPERLINK("https://svao.dolgi.msk.ru/account/1760082402/", 1760082402)</f>
        <v>1760082402</v>
      </c>
      <c r="D7051">
        <v>17858.560000000001</v>
      </c>
    </row>
    <row r="7052" spans="1:4" x14ac:dyDescent="0.25">
      <c r="A7052" t="s">
        <v>637</v>
      </c>
      <c r="B7052" t="s">
        <v>32</v>
      </c>
      <c r="C7052" s="2">
        <f>HYPERLINK("https://svao.dolgi.msk.ru/account/1760082429/", 1760082429)</f>
        <v>1760082429</v>
      </c>
      <c r="D7052">
        <v>6948.37</v>
      </c>
    </row>
    <row r="7053" spans="1:4" x14ac:dyDescent="0.25">
      <c r="A7053" t="s">
        <v>637</v>
      </c>
      <c r="B7053" t="s">
        <v>35</v>
      </c>
      <c r="C7053" s="2">
        <f>HYPERLINK("https://svao.dolgi.msk.ru/account/1760082883/", 1760082883)</f>
        <v>1760082883</v>
      </c>
      <c r="D7053">
        <v>16018.47</v>
      </c>
    </row>
    <row r="7054" spans="1:4" x14ac:dyDescent="0.25">
      <c r="A7054" t="s">
        <v>637</v>
      </c>
      <c r="B7054" t="s">
        <v>86</v>
      </c>
      <c r="C7054" s="2">
        <f>HYPERLINK("https://svao.dolgi.msk.ru/account/1760082509/", 1760082509)</f>
        <v>1760082509</v>
      </c>
      <c r="D7054">
        <v>174.37</v>
      </c>
    </row>
    <row r="7055" spans="1:4" x14ac:dyDescent="0.25">
      <c r="A7055" t="s">
        <v>637</v>
      </c>
      <c r="B7055" t="s">
        <v>87</v>
      </c>
      <c r="C7055" s="2">
        <f>HYPERLINK("https://svao.dolgi.msk.ru/account/1760082533/", 1760082533)</f>
        <v>1760082533</v>
      </c>
      <c r="D7055">
        <v>4163.47</v>
      </c>
    </row>
    <row r="7056" spans="1:4" x14ac:dyDescent="0.25">
      <c r="A7056" t="s">
        <v>637</v>
      </c>
      <c r="B7056" t="s">
        <v>293</v>
      </c>
      <c r="C7056" s="2">
        <f>HYPERLINK("https://svao.dolgi.msk.ru/account/1760082576/", 1760082576)</f>
        <v>1760082576</v>
      </c>
      <c r="D7056">
        <v>5789.8</v>
      </c>
    </row>
    <row r="7057" spans="1:4" x14ac:dyDescent="0.25">
      <c r="A7057" t="s">
        <v>637</v>
      </c>
      <c r="B7057" t="s">
        <v>38</v>
      </c>
      <c r="C7057" s="2">
        <f>HYPERLINK("https://svao.dolgi.msk.ru/account/1760082613/", 1760082613)</f>
        <v>1760082613</v>
      </c>
      <c r="D7057">
        <v>3818.23</v>
      </c>
    </row>
    <row r="7058" spans="1:4" x14ac:dyDescent="0.25">
      <c r="A7058" t="s">
        <v>637</v>
      </c>
      <c r="B7058" t="s">
        <v>142</v>
      </c>
      <c r="C7058" s="2">
        <f>HYPERLINK("https://svao.dolgi.msk.ru/account/1760082736/", 1760082736)</f>
        <v>1760082736</v>
      </c>
      <c r="D7058">
        <v>7198.12</v>
      </c>
    </row>
    <row r="7059" spans="1:4" x14ac:dyDescent="0.25">
      <c r="A7059" t="s">
        <v>637</v>
      </c>
      <c r="B7059" t="s">
        <v>305</v>
      </c>
      <c r="C7059" s="2">
        <f>HYPERLINK("https://svao.dolgi.msk.ru/account/1760082752/", 1760082752)</f>
        <v>1760082752</v>
      </c>
      <c r="D7059">
        <v>5277.55</v>
      </c>
    </row>
    <row r="7060" spans="1:4" x14ac:dyDescent="0.25">
      <c r="A7060" t="s">
        <v>637</v>
      </c>
      <c r="B7060" t="s">
        <v>144</v>
      </c>
      <c r="C7060" s="2">
        <f>HYPERLINK("https://svao.dolgi.msk.ru/account/1760082808/", 1760082808)</f>
        <v>1760082808</v>
      </c>
      <c r="D7060">
        <v>1572.36</v>
      </c>
    </row>
    <row r="7061" spans="1:4" x14ac:dyDescent="0.25">
      <c r="A7061" t="s">
        <v>637</v>
      </c>
      <c r="B7061" t="s">
        <v>145</v>
      </c>
      <c r="C7061" s="2">
        <f>HYPERLINK("https://svao.dolgi.msk.ru/account/1760082875/", 1760082875)</f>
        <v>1760082875</v>
      </c>
      <c r="D7061">
        <v>10119.61</v>
      </c>
    </row>
    <row r="7062" spans="1:4" x14ac:dyDescent="0.25">
      <c r="A7062" t="s">
        <v>637</v>
      </c>
      <c r="B7062" t="s">
        <v>250</v>
      </c>
      <c r="C7062" s="2">
        <f>HYPERLINK("https://svao.dolgi.msk.ru/account/1760082939/", 1760082939)</f>
        <v>1760082939</v>
      </c>
      <c r="D7062">
        <v>8324.7800000000007</v>
      </c>
    </row>
    <row r="7063" spans="1:4" x14ac:dyDescent="0.25">
      <c r="A7063" t="s">
        <v>637</v>
      </c>
      <c r="B7063" t="s">
        <v>50</v>
      </c>
      <c r="C7063" s="2">
        <f>HYPERLINK("https://svao.dolgi.msk.ru/account/1760083069/", 1760083069)</f>
        <v>1760083069</v>
      </c>
      <c r="D7063">
        <v>8481.2000000000007</v>
      </c>
    </row>
    <row r="7064" spans="1:4" x14ac:dyDescent="0.25">
      <c r="A7064" t="s">
        <v>637</v>
      </c>
      <c r="B7064" t="s">
        <v>148</v>
      </c>
      <c r="C7064" s="2">
        <f>HYPERLINK("https://svao.dolgi.msk.ru/account/1760083165/", 1760083165)</f>
        <v>1760083165</v>
      </c>
      <c r="D7064">
        <v>4937.01</v>
      </c>
    </row>
    <row r="7065" spans="1:4" x14ac:dyDescent="0.25">
      <c r="A7065" t="s">
        <v>637</v>
      </c>
      <c r="B7065" t="s">
        <v>149</v>
      </c>
      <c r="C7065" s="2">
        <f>HYPERLINK("https://svao.dolgi.msk.ru/account/1760083202/", 1760083202)</f>
        <v>1760083202</v>
      </c>
      <c r="D7065">
        <v>3952.4</v>
      </c>
    </row>
    <row r="7066" spans="1:4" x14ac:dyDescent="0.25">
      <c r="A7066" t="s">
        <v>637</v>
      </c>
      <c r="B7066" t="s">
        <v>307</v>
      </c>
      <c r="C7066" s="2">
        <f>HYPERLINK("https://svao.dolgi.msk.ru/account/1760083229/", 1760083229)</f>
        <v>1760083229</v>
      </c>
      <c r="D7066">
        <v>5584.57</v>
      </c>
    </row>
    <row r="7067" spans="1:4" x14ac:dyDescent="0.25">
      <c r="A7067" t="s">
        <v>637</v>
      </c>
      <c r="B7067" t="s">
        <v>151</v>
      </c>
      <c r="C7067" s="2">
        <f>HYPERLINK("https://svao.dolgi.msk.ru/account/1760083245/", 1760083245)</f>
        <v>1760083245</v>
      </c>
      <c r="D7067">
        <v>4435.57</v>
      </c>
    </row>
    <row r="7068" spans="1:4" x14ac:dyDescent="0.25">
      <c r="A7068" t="s">
        <v>637</v>
      </c>
      <c r="B7068" t="s">
        <v>253</v>
      </c>
      <c r="C7068" s="2">
        <f>HYPERLINK("https://svao.dolgi.msk.ru/account/1760083309/", 1760083309)</f>
        <v>1760083309</v>
      </c>
      <c r="D7068">
        <v>9280.99</v>
      </c>
    </row>
    <row r="7069" spans="1:4" x14ac:dyDescent="0.25">
      <c r="A7069" t="s">
        <v>637</v>
      </c>
      <c r="B7069" t="s">
        <v>309</v>
      </c>
      <c r="C7069" s="2">
        <f>HYPERLINK("https://svao.dolgi.msk.ru/account/1760083376/", 1760083376)</f>
        <v>1760083376</v>
      </c>
      <c r="D7069">
        <v>29622.95</v>
      </c>
    </row>
    <row r="7070" spans="1:4" x14ac:dyDescent="0.25">
      <c r="A7070" t="s">
        <v>637</v>
      </c>
      <c r="B7070" t="s">
        <v>254</v>
      </c>
      <c r="C7070" s="2">
        <f>HYPERLINK("https://svao.dolgi.msk.ru/account/1760083384/", 1760083384)</f>
        <v>1760083384</v>
      </c>
      <c r="D7070">
        <v>3943.05</v>
      </c>
    </row>
    <row r="7071" spans="1:4" x14ac:dyDescent="0.25">
      <c r="A7071" t="s">
        <v>637</v>
      </c>
      <c r="B7071" t="s">
        <v>55</v>
      </c>
      <c r="C7071" s="2">
        <f>HYPERLINK("https://svao.dolgi.msk.ru/account/1760083413/", 1760083413)</f>
        <v>1760083413</v>
      </c>
      <c r="D7071">
        <v>7422.31</v>
      </c>
    </row>
    <row r="7072" spans="1:4" x14ac:dyDescent="0.25">
      <c r="A7072" t="s">
        <v>637</v>
      </c>
      <c r="B7072" t="s">
        <v>327</v>
      </c>
      <c r="C7072" s="2">
        <f>HYPERLINK("https://svao.dolgi.msk.ru/account/1760083464/", 1760083464)</f>
        <v>1760083464</v>
      </c>
      <c r="D7072">
        <v>8904.06</v>
      </c>
    </row>
    <row r="7073" spans="1:4" x14ac:dyDescent="0.25">
      <c r="A7073" t="s">
        <v>638</v>
      </c>
      <c r="B7073" t="s">
        <v>6</v>
      </c>
      <c r="C7073" s="2">
        <f>HYPERLINK("https://svao.dolgi.msk.ru/account/1760083544/", 1760083544)</f>
        <v>1760083544</v>
      </c>
      <c r="D7073">
        <v>4298.72</v>
      </c>
    </row>
    <row r="7074" spans="1:4" x14ac:dyDescent="0.25">
      <c r="A7074" t="s">
        <v>638</v>
      </c>
      <c r="B7074" t="s">
        <v>101</v>
      </c>
      <c r="C7074" s="2">
        <f>HYPERLINK("https://svao.dolgi.msk.ru/account/1760083608/", 1760083608)</f>
        <v>1760083608</v>
      </c>
      <c r="D7074">
        <v>3303.57</v>
      </c>
    </row>
    <row r="7075" spans="1:4" x14ac:dyDescent="0.25">
      <c r="A7075" t="s">
        <v>638</v>
      </c>
      <c r="B7075" t="s">
        <v>103</v>
      </c>
      <c r="C7075" s="2">
        <f>HYPERLINK("https://svao.dolgi.msk.ru/account/1760083632/", 1760083632)</f>
        <v>1760083632</v>
      </c>
      <c r="D7075">
        <v>14271.86</v>
      </c>
    </row>
    <row r="7076" spans="1:4" x14ac:dyDescent="0.25">
      <c r="A7076" t="s">
        <v>638</v>
      </c>
      <c r="B7076" t="s">
        <v>74</v>
      </c>
      <c r="C7076" s="2">
        <f>HYPERLINK("https://svao.dolgi.msk.ru/account/1760083683/", 1760083683)</f>
        <v>1760083683</v>
      </c>
      <c r="D7076">
        <v>5596.04</v>
      </c>
    </row>
    <row r="7077" spans="1:4" x14ac:dyDescent="0.25">
      <c r="A7077" t="s">
        <v>638</v>
      </c>
      <c r="B7077" t="s">
        <v>91</v>
      </c>
      <c r="C7077" s="2">
        <f>HYPERLINK("https://svao.dolgi.msk.ru/account/1760083739/", 1760083739)</f>
        <v>1760083739</v>
      </c>
      <c r="D7077">
        <v>4183.22</v>
      </c>
    </row>
    <row r="7078" spans="1:4" x14ac:dyDescent="0.25">
      <c r="A7078" t="s">
        <v>638</v>
      </c>
      <c r="B7078" t="s">
        <v>219</v>
      </c>
      <c r="C7078" s="2">
        <f>HYPERLINK("https://svao.dolgi.msk.ru/account/1760083755/", 1760083755)</f>
        <v>1760083755</v>
      </c>
      <c r="D7078">
        <v>4920.16</v>
      </c>
    </row>
    <row r="7079" spans="1:4" x14ac:dyDescent="0.25">
      <c r="A7079" t="s">
        <v>638</v>
      </c>
      <c r="B7079" t="s">
        <v>12</v>
      </c>
      <c r="C7079" s="2">
        <f>HYPERLINK("https://svao.dolgi.msk.ru/account/1760083771/", 1760083771)</f>
        <v>1760083771</v>
      </c>
      <c r="D7079">
        <v>5708.23</v>
      </c>
    </row>
    <row r="7080" spans="1:4" x14ac:dyDescent="0.25">
      <c r="A7080" t="s">
        <v>638</v>
      </c>
      <c r="B7080" t="s">
        <v>14</v>
      </c>
      <c r="C7080" s="2">
        <f>HYPERLINK("https://svao.dolgi.msk.ru/account/1760083819/", 1760083819)</f>
        <v>1760083819</v>
      </c>
      <c r="D7080">
        <v>2627.94</v>
      </c>
    </row>
    <row r="7081" spans="1:4" x14ac:dyDescent="0.25">
      <c r="A7081" t="s">
        <v>638</v>
      </c>
      <c r="B7081" t="s">
        <v>107</v>
      </c>
      <c r="C7081" s="2">
        <f>HYPERLINK("https://svao.dolgi.msk.ru/account/1760083835/", 1760083835)</f>
        <v>1760083835</v>
      </c>
      <c r="D7081">
        <v>13238.87</v>
      </c>
    </row>
    <row r="7082" spans="1:4" x14ac:dyDescent="0.25">
      <c r="A7082" t="s">
        <v>638</v>
      </c>
      <c r="B7082" t="s">
        <v>17</v>
      </c>
      <c r="C7082" s="2">
        <f>HYPERLINK("https://svao.dolgi.msk.ru/account/1760083886/", 1760083886)</f>
        <v>1760083886</v>
      </c>
      <c r="D7082">
        <v>7113.9</v>
      </c>
    </row>
    <row r="7083" spans="1:4" x14ac:dyDescent="0.25">
      <c r="A7083" t="s">
        <v>638</v>
      </c>
      <c r="B7083" t="s">
        <v>109</v>
      </c>
      <c r="C7083" s="2">
        <f>HYPERLINK("https://svao.dolgi.msk.ru/account/1760083915/", 1760083915)</f>
        <v>1760083915</v>
      </c>
      <c r="D7083">
        <v>117.33</v>
      </c>
    </row>
    <row r="7084" spans="1:4" x14ac:dyDescent="0.25">
      <c r="A7084" t="s">
        <v>638</v>
      </c>
      <c r="B7084" t="s">
        <v>92</v>
      </c>
      <c r="C7084" s="2">
        <f>HYPERLINK("https://svao.dolgi.msk.ru/account/1760083966/", 1760083966)</f>
        <v>1760083966</v>
      </c>
      <c r="D7084">
        <v>4498.03</v>
      </c>
    </row>
    <row r="7085" spans="1:4" x14ac:dyDescent="0.25">
      <c r="A7085" t="s">
        <v>638</v>
      </c>
      <c r="B7085" t="s">
        <v>93</v>
      </c>
      <c r="C7085" s="2">
        <f>HYPERLINK("https://svao.dolgi.msk.ru/account/1760083974/", 1760083974)</f>
        <v>1760083974</v>
      </c>
      <c r="D7085">
        <v>5249.04</v>
      </c>
    </row>
    <row r="7086" spans="1:4" x14ac:dyDescent="0.25">
      <c r="A7086" t="s">
        <v>638</v>
      </c>
      <c r="B7086" t="s">
        <v>111</v>
      </c>
      <c r="C7086" s="2">
        <f>HYPERLINK("https://svao.dolgi.msk.ru/account/1760083982/", 1760083982)</f>
        <v>1760083982</v>
      </c>
      <c r="D7086">
        <v>5007.41</v>
      </c>
    </row>
    <row r="7087" spans="1:4" x14ac:dyDescent="0.25">
      <c r="A7087" t="s">
        <v>638</v>
      </c>
      <c r="B7087" t="s">
        <v>94</v>
      </c>
      <c r="C7087" s="2">
        <f>HYPERLINK("https://svao.dolgi.msk.ru/account/1760084002/", 1760084002)</f>
        <v>1760084002</v>
      </c>
      <c r="D7087">
        <v>6078.21</v>
      </c>
    </row>
    <row r="7088" spans="1:4" x14ac:dyDescent="0.25">
      <c r="A7088" t="s">
        <v>638</v>
      </c>
      <c r="B7088" t="s">
        <v>113</v>
      </c>
      <c r="C7088" s="2">
        <f>HYPERLINK("https://svao.dolgi.msk.ru/account/1760084037/", 1760084037)</f>
        <v>1760084037</v>
      </c>
      <c r="D7088">
        <v>18959.240000000002</v>
      </c>
    </row>
    <row r="7089" spans="1:4" x14ac:dyDescent="0.25">
      <c r="A7089" t="s">
        <v>638</v>
      </c>
      <c r="B7089" t="s">
        <v>117</v>
      </c>
      <c r="C7089" s="2">
        <f>HYPERLINK("https://svao.dolgi.msk.ru/account/1760084133/", 1760084133)</f>
        <v>1760084133</v>
      </c>
      <c r="D7089">
        <v>190994.46</v>
      </c>
    </row>
    <row r="7090" spans="1:4" x14ac:dyDescent="0.25">
      <c r="A7090" t="s">
        <v>638</v>
      </c>
      <c r="B7090" t="s">
        <v>320</v>
      </c>
      <c r="C7090" s="2">
        <f>HYPERLINK("https://svao.dolgi.msk.ru/account/1760084168/", 1760084168)</f>
        <v>1760084168</v>
      </c>
      <c r="D7090">
        <v>7932.52</v>
      </c>
    </row>
    <row r="7091" spans="1:4" x14ac:dyDescent="0.25">
      <c r="A7091" t="s">
        <v>638</v>
      </c>
      <c r="B7091" t="s">
        <v>24</v>
      </c>
      <c r="C7091" s="2">
        <f>HYPERLINK("https://svao.dolgi.msk.ru/account/1760084176/", 1760084176)</f>
        <v>1760084176</v>
      </c>
      <c r="D7091">
        <v>2642.79</v>
      </c>
    </row>
    <row r="7092" spans="1:4" x14ac:dyDescent="0.25">
      <c r="A7092" t="s">
        <v>638</v>
      </c>
      <c r="B7092" t="s">
        <v>131</v>
      </c>
      <c r="C7092" s="2">
        <f>HYPERLINK("https://svao.dolgi.msk.ru/account/1760084213/", 1760084213)</f>
        <v>1760084213</v>
      </c>
      <c r="D7092">
        <v>18887.62</v>
      </c>
    </row>
    <row r="7093" spans="1:4" x14ac:dyDescent="0.25">
      <c r="A7093" t="s">
        <v>638</v>
      </c>
      <c r="B7093" t="s">
        <v>80</v>
      </c>
      <c r="C7093" s="2">
        <f>HYPERLINK("https://svao.dolgi.msk.ru/account/1760084256/", 1760084256)</f>
        <v>1760084256</v>
      </c>
      <c r="D7093">
        <v>6807.4</v>
      </c>
    </row>
    <row r="7094" spans="1:4" x14ac:dyDescent="0.25">
      <c r="A7094" t="s">
        <v>638</v>
      </c>
      <c r="B7094" t="s">
        <v>118</v>
      </c>
      <c r="C7094" s="2">
        <f>HYPERLINK("https://svao.dolgi.msk.ru/account/1760084264/", 1760084264)</f>
        <v>1760084264</v>
      </c>
      <c r="D7094">
        <v>1072.75</v>
      </c>
    </row>
    <row r="7095" spans="1:4" x14ac:dyDescent="0.25">
      <c r="A7095" t="s">
        <v>638</v>
      </c>
      <c r="B7095" t="s">
        <v>127</v>
      </c>
      <c r="C7095" s="2">
        <f>HYPERLINK("https://svao.dolgi.msk.ru/account/1760084299/", 1760084299)</f>
        <v>1760084299</v>
      </c>
      <c r="D7095">
        <v>3352.51</v>
      </c>
    </row>
    <row r="7096" spans="1:4" x14ac:dyDescent="0.25">
      <c r="A7096" t="s">
        <v>638</v>
      </c>
      <c r="B7096" t="s">
        <v>119</v>
      </c>
      <c r="C7096" s="2">
        <f>HYPERLINK("https://svao.dolgi.msk.ru/account/1760084328/", 1760084328)</f>
        <v>1760084328</v>
      </c>
      <c r="D7096">
        <v>8684.57</v>
      </c>
    </row>
    <row r="7097" spans="1:4" x14ac:dyDescent="0.25">
      <c r="A7097" t="s">
        <v>638</v>
      </c>
      <c r="B7097" t="s">
        <v>82</v>
      </c>
      <c r="C7097" s="2">
        <f>HYPERLINK("https://svao.dolgi.msk.ru/account/1760084344/", 1760084344)</f>
        <v>1760084344</v>
      </c>
      <c r="D7097">
        <v>3821.03</v>
      </c>
    </row>
    <row r="7098" spans="1:4" x14ac:dyDescent="0.25">
      <c r="A7098" t="s">
        <v>638</v>
      </c>
      <c r="B7098" t="s">
        <v>28</v>
      </c>
      <c r="C7098" s="2">
        <f>HYPERLINK("https://svao.dolgi.msk.ru/account/1760084504/", 1760084504)</f>
        <v>1760084504</v>
      </c>
      <c r="D7098">
        <v>8733.93</v>
      </c>
    </row>
    <row r="7099" spans="1:4" x14ac:dyDescent="0.25">
      <c r="A7099" t="s">
        <v>638</v>
      </c>
      <c r="B7099" t="s">
        <v>29</v>
      </c>
      <c r="C7099" s="2">
        <f>HYPERLINK("https://svao.dolgi.msk.ru/account/1760084512/", 1760084512)</f>
        <v>1760084512</v>
      </c>
      <c r="D7099">
        <v>6028.86</v>
      </c>
    </row>
    <row r="7100" spans="1:4" x14ac:dyDescent="0.25">
      <c r="A7100" t="s">
        <v>638</v>
      </c>
      <c r="B7100" t="s">
        <v>244</v>
      </c>
      <c r="C7100" s="2">
        <f>HYPERLINK("https://svao.dolgi.msk.ru/account/1760084539/", 1760084539)</f>
        <v>1760084539</v>
      </c>
      <c r="D7100">
        <v>1526.84</v>
      </c>
    </row>
    <row r="7101" spans="1:4" x14ac:dyDescent="0.25">
      <c r="A7101" t="s">
        <v>638</v>
      </c>
      <c r="B7101" t="s">
        <v>85</v>
      </c>
      <c r="C7101" s="2">
        <f>HYPERLINK("https://svao.dolgi.msk.ru/account/1760084651/", 1760084651)</f>
        <v>1760084651</v>
      </c>
      <c r="D7101">
        <v>2208.41</v>
      </c>
    </row>
    <row r="7102" spans="1:4" x14ac:dyDescent="0.25">
      <c r="A7102" t="s">
        <v>638</v>
      </c>
      <c r="B7102" t="s">
        <v>99</v>
      </c>
      <c r="C7102" s="2">
        <f>HYPERLINK("https://svao.dolgi.msk.ru/account/1760084715/", 1760084715)</f>
        <v>1760084715</v>
      </c>
      <c r="D7102">
        <v>5134.66</v>
      </c>
    </row>
    <row r="7103" spans="1:4" x14ac:dyDescent="0.25">
      <c r="A7103" t="s">
        <v>638</v>
      </c>
      <c r="B7103" t="s">
        <v>36</v>
      </c>
      <c r="C7103" s="2">
        <f>HYPERLINK("https://svao.dolgi.msk.ru/account/1760084758/", 1760084758)</f>
        <v>1760084758</v>
      </c>
      <c r="D7103">
        <v>3271.71</v>
      </c>
    </row>
    <row r="7104" spans="1:4" x14ac:dyDescent="0.25">
      <c r="A7104" t="s">
        <v>638</v>
      </c>
      <c r="B7104" t="s">
        <v>88</v>
      </c>
      <c r="C7104" s="2">
        <f>HYPERLINK("https://svao.dolgi.msk.ru/account/1760084766/", 1760084766)</f>
        <v>1760084766</v>
      </c>
      <c r="D7104">
        <v>1121.7</v>
      </c>
    </row>
    <row r="7105" spans="1:4" x14ac:dyDescent="0.25">
      <c r="A7105" t="s">
        <v>638</v>
      </c>
      <c r="B7105" t="s">
        <v>38</v>
      </c>
      <c r="C7105" s="2">
        <f>HYPERLINK("https://svao.dolgi.msk.ru/account/1760084811/", 1760084811)</f>
        <v>1760084811</v>
      </c>
      <c r="D7105">
        <v>9072.83</v>
      </c>
    </row>
    <row r="7106" spans="1:4" x14ac:dyDescent="0.25">
      <c r="A7106" t="s">
        <v>638</v>
      </c>
      <c r="B7106" t="s">
        <v>246</v>
      </c>
      <c r="C7106" s="2">
        <f>HYPERLINK("https://svao.dolgi.msk.ru/account/1760084838/", 1760084838)</f>
        <v>1760084838</v>
      </c>
      <c r="D7106">
        <v>5139.13</v>
      </c>
    </row>
    <row r="7107" spans="1:4" x14ac:dyDescent="0.25">
      <c r="A7107" t="s">
        <v>638</v>
      </c>
      <c r="B7107" t="s">
        <v>40</v>
      </c>
      <c r="C7107" s="2">
        <f>HYPERLINK("https://svao.dolgi.msk.ru/account/1760084846/", 1760084846)</f>
        <v>1760084846</v>
      </c>
      <c r="D7107">
        <v>2404.17</v>
      </c>
    </row>
    <row r="7108" spans="1:4" x14ac:dyDescent="0.25">
      <c r="A7108" t="s">
        <v>638</v>
      </c>
      <c r="B7108" t="s">
        <v>44</v>
      </c>
      <c r="C7108" s="2">
        <f>HYPERLINK("https://svao.dolgi.msk.ru/account/1760084889/", 1760084889)</f>
        <v>1760084889</v>
      </c>
      <c r="D7108">
        <v>409.49</v>
      </c>
    </row>
    <row r="7109" spans="1:4" x14ac:dyDescent="0.25">
      <c r="A7109" t="s">
        <v>638</v>
      </c>
      <c r="B7109" t="s">
        <v>89</v>
      </c>
      <c r="C7109" s="2">
        <f>HYPERLINK("https://svao.dolgi.msk.ru/account/1760084897/", 1760084897)</f>
        <v>1760084897</v>
      </c>
      <c r="D7109">
        <v>3842.72</v>
      </c>
    </row>
    <row r="7110" spans="1:4" x14ac:dyDescent="0.25">
      <c r="A7110" t="s">
        <v>638</v>
      </c>
      <c r="B7110" t="s">
        <v>142</v>
      </c>
      <c r="C7110" s="2">
        <f>HYPERLINK("https://svao.dolgi.msk.ru/account/1760084918/", 1760084918)</f>
        <v>1760084918</v>
      </c>
      <c r="D7110">
        <v>2932.6</v>
      </c>
    </row>
    <row r="7111" spans="1:4" x14ac:dyDescent="0.25">
      <c r="A7111" t="s">
        <v>638</v>
      </c>
      <c r="B7111" t="s">
        <v>144</v>
      </c>
      <c r="C7111" s="2">
        <f>HYPERLINK("https://svao.dolgi.msk.ru/account/1760084985/", 1760084985)</f>
        <v>1760084985</v>
      </c>
      <c r="D7111">
        <v>4499.18</v>
      </c>
    </row>
    <row r="7112" spans="1:4" x14ac:dyDescent="0.25">
      <c r="A7112" t="s">
        <v>638</v>
      </c>
      <c r="B7112" t="s">
        <v>146</v>
      </c>
      <c r="C7112" s="2">
        <f>HYPERLINK("https://svao.dolgi.msk.ru/account/1761793273/", 1761793273)</f>
        <v>1761793273</v>
      </c>
      <c r="D7112">
        <v>141.68</v>
      </c>
    </row>
    <row r="7113" spans="1:4" x14ac:dyDescent="0.25">
      <c r="A7113" t="s">
        <v>638</v>
      </c>
      <c r="B7113" t="s">
        <v>147</v>
      </c>
      <c r="C7113" s="2">
        <f>HYPERLINK("https://svao.dolgi.msk.ru/account/1760085152/", 1760085152)</f>
        <v>1760085152</v>
      </c>
      <c r="D7113">
        <v>56571.74</v>
      </c>
    </row>
    <row r="7114" spans="1:4" x14ac:dyDescent="0.25">
      <c r="A7114" t="s">
        <v>638</v>
      </c>
      <c r="B7114" t="s">
        <v>316</v>
      </c>
      <c r="C7114" s="2">
        <f>HYPERLINK("https://svao.dolgi.msk.ru/account/1760085267/", 1760085267)</f>
        <v>1760085267</v>
      </c>
      <c r="D7114">
        <v>5226.01</v>
      </c>
    </row>
    <row r="7115" spans="1:4" x14ac:dyDescent="0.25">
      <c r="A7115" t="s">
        <v>639</v>
      </c>
      <c r="B7115" t="s">
        <v>141</v>
      </c>
      <c r="C7115" s="2">
        <f>HYPERLINK("https://svao.dolgi.msk.ru/account/1760142014/", 1760142014)</f>
        <v>1760142014</v>
      </c>
      <c r="D7115">
        <v>2349.9299999999998</v>
      </c>
    </row>
    <row r="7116" spans="1:4" x14ac:dyDescent="0.25">
      <c r="A7116" t="s">
        <v>639</v>
      </c>
      <c r="B7116" t="s">
        <v>73</v>
      </c>
      <c r="C7116" s="2">
        <f>HYPERLINK("https://svao.dolgi.msk.ru/account/1760142057/", 1760142057)</f>
        <v>1760142057</v>
      </c>
      <c r="D7116">
        <v>2508.09</v>
      </c>
    </row>
    <row r="7117" spans="1:4" x14ac:dyDescent="0.25">
      <c r="A7117" t="s">
        <v>639</v>
      </c>
      <c r="B7117" t="s">
        <v>8</v>
      </c>
      <c r="C7117" s="2">
        <f>HYPERLINK("https://svao.dolgi.msk.ru/account/1760142073/", 1760142073)</f>
        <v>1760142073</v>
      </c>
      <c r="D7117">
        <v>3542.58</v>
      </c>
    </row>
    <row r="7118" spans="1:4" x14ac:dyDescent="0.25">
      <c r="A7118" t="s">
        <v>639</v>
      </c>
      <c r="B7118" t="s">
        <v>91</v>
      </c>
      <c r="C7118" s="2">
        <f>HYPERLINK("https://svao.dolgi.msk.ru/account/1760142145/", 1760142145)</f>
        <v>1760142145</v>
      </c>
      <c r="D7118">
        <v>3376.3</v>
      </c>
    </row>
    <row r="7119" spans="1:4" x14ac:dyDescent="0.25">
      <c r="A7119" t="s">
        <v>639</v>
      </c>
      <c r="B7119" t="s">
        <v>76</v>
      </c>
      <c r="C7119" s="2">
        <f>HYPERLINK("https://svao.dolgi.msk.ru/account/1760142356/", 1760142356)</f>
        <v>1760142356</v>
      </c>
      <c r="D7119">
        <v>6856.55</v>
      </c>
    </row>
    <row r="7120" spans="1:4" x14ac:dyDescent="0.25">
      <c r="A7120" t="s">
        <v>639</v>
      </c>
      <c r="B7120" t="s">
        <v>112</v>
      </c>
      <c r="C7120" s="2">
        <f>HYPERLINK("https://svao.dolgi.msk.ru/account/1760142428/", 1760142428)</f>
        <v>1760142428</v>
      </c>
      <c r="D7120">
        <v>3910.26</v>
      </c>
    </row>
    <row r="7121" spans="1:4" x14ac:dyDescent="0.25">
      <c r="A7121" t="s">
        <v>639</v>
      </c>
      <c r="B7121" t="s">
        <v>22</v>
      </c>
      <c r="C7121" s="2">
        <f>HYPERLINK("https://svao.dolgi.msk.ru/account/1760142495/", 1760142495)</f>
        <v>1760142495</v>
      </c>
      <c r="D7121">
        <v>4058.21</v>
      </c>
    </row>
    <row r="7122" spans="1:4" x14ac:dyDescent="0.25">
      <c r="A7122" t="s">
        <v>639</v>
      </c>
      <c r="B7122" t="s">
        <v>23</v>
      </c>
      <c r="C7122" s="2">
        <f>HYPERLINK("https://svao.dolgi.msk.ru/account/1760142516/", 1760142516)</f>
        <v>1760142516</v>
      </c>
      <c r="D7122">
        <v>3496.58</v>
      </c>
    </row>
    <row r="7123" spans="1:4" x14ac:dyDescent="0.25">
      <c r="A7123" t="s">
        <v>639</v>
      </c>
      <c r="B7123" t="s">
        <v>124</v>
      </c>
      <c r="C7123" s="2">
        <f>HYPERLINK("https://svao.dolgi.msk.ru/account/1760142524/", 1760142524)</f>
        <v>1760142524</v>
      </c>
      <c r="D7123">
        <v>3953.17</v>
      </c>
    </row>
    <row r="7124" spans="1:4" x14ac:dyDescent="0.25">
      <c r="A7124" t="s">
        <v>639</v>
      </c>
      <c r="B7124" t="s">
        <v>117</v>
      </c>
      <c r="C7124" s="2">
        <f>HYPERLINK("https://svao.dolgi.msk.ru/account/1760142532/", 1760142532)</f>
        <v>1760142532</v>
      </c>
      <c r="D7124">
        <v>4987.47</v>
      </c>
    </row>
    <row r="7125" spans="1:4" x14ac:dyDescent="0.25">
      <c r="A7125" t="s">
        <v>639</v>
      </c>
      <c r="B7125" t="s">
        <v>115</v>
      </c>
      <c r="C7125" s="2">
        <f>HYPERLINK("https://svao.dolgi.msk.ru/account/1760142559/", 1760142559)</f>
        <v>1760142559</v>
      </c>
      <c r="D7125">
        <v>207.97</v>
      </c>
    </row>
    <row r="7126" spans="1:4" x14ac:dyDescent="0.25">
      <c r="A7126" t="s">
        <v>639</v>
      </c>
      <c r="B7126" t="s">
        <v>314</v>
      </c>
      <c r="C7126" s="2">
        <f>HYPERLINK("https://svao.dolgi.msk.ru/account/1760142583/", 1760142583)</f>
        <v>1760142583</v>
      </c>
      <c r="D7126">
        <v>3678.93</v>
      </c>
    </row>
    <row r="7127" spans="1:4" x14ac:dyDescent="0.25">
      <c r="A7127" t="s">
        <v>639</v>
      </c>
      <c r="B7127" t="s">
        <v>131</v>
      </c>
      <c r="C7127" s="2">
        <f>HYPERLINK("https://svao.dolgi.msk.ru/account/1760142612/", 1760142612)</f>
        <v>1760142612</v>
      </c>
      <c r="D7127">
        <v>5873.96</v>
      </c>
    </row>
    <row r="7128" spans="1:4" x14ac:dyDescent="0.25">
      <c r="A7128" t="s">
        <v>639</v>
      </c>
      <c r="B7128" t="s">
        <v>120</v>
      </c>
      <c r="C7128" s="2">
        <f>HYPERLINK("https://svao.dolgi.msk.ru/account/1760142727/", 1760142727)</f>
        <v>1760142727</v>
      </c>
      <c r="D7128">
        <v>3562.95</v>
      </c>
    </row>
    <row r="7129" spans="1:4" x14ac:dyDescent="0.25">
      <c r="A7129" t="s">
        <v>639</v>
      </c>
      <c r="B7129" t="s">
        <v>27</v>
      </c>
      <c r="C7129" s="2">
        <f>HYPERLINK("https://svao.dolgi.msk.ru/account/1760142823/", 1760142823)</f>
        <v>1760142823</v>
      </c>
      <c r="D7129">
        <v>636.32000000000005</v>
      </c>
    </row>
    <row r="7130" spans="1:4" x14ac:dyDescent="0.25">
      <c r="A7130" t="s">
        <v>639</v>
      </c>
      <c r="B7130" t="s">
        <v>97</v>
      </c>
      <c r="C7130" s="2">
        <f>HYPERLINK("https://svao.dolgi.msk.ru/account/1760142962/", 1760142962)</f>
        <v>1760142962</v>
      </c>
      <c r="D7130">
        <v>6194.03</v>
      </c>
    </row>
    <row r="7131" spans="1:4" x14ac:dyDescent="0.25">
      <c r="A7131" t="s">
        <v>639</v>
      </c>
      <c r="B7131" t="s">
        <v>84</v>
      </c>
      <c r="C7131" s="2">
        <f>HYPERLINK("https://svao.dolgi.msk.ru/account/1760142989/", 1760142989)</f>
        <v>1760142989</v>
      </c>
      <c r="D7131">
        <v>9585.81</v>
      </c>
    </row>
    <row r="7132" spans="1:4" x14ac:dyDescent="0.25">
      <c r="A7132" t="s">
        <v>639</v>
      </c>
      <c r="B7132" t="s">
        <v>98</v>
      </c>
      <c r="C7132" s="2">
        <f>HYPERLINK("https://svao.dolgi.msk.ru/account/1760143009/", 1760143009)</f>
        <v>1760143009</v>
      </c>
      <c r="D7132">
        <v>6227.94</v>
      </c>
    </row>
    <row r="7133" spans="1:4" x14ac:dyDescent="0.25">
      <c r="A7133" t="s">
        <v>639</v>
      </c>
      <c r="B7133" t="s">
        <v>85</v>
      </c>
      <c r="C7133" s="2">
        <f>HYPERLINK("https://svao.dolgi.msk.ru/account/1760143041/", 1760143041)</f>
        <v>1760143041</v>
      </c>
      <c r="D7133">
        <v>6133.89</v>
      </c>
    </row>
    <row r="7134" spans="1:4" x14ac:dyDescent="0.25">
      <c r="A7134" t="s">
        <v>639</v>
      </c>
      <c r="B7134" t="s">
        <v>34</v>
      </c>
      <c r="C7134" s="2">
        <f>HYPERLINK("https://svao.dolgi.msk.ru/account/1760143076/", 1760143076)</f>
        <v>1760143076</v>
      </c>
      <c r="D7134">
        <v>3974.73</v>
      </c>
    </row>
    <row r="7135" spans="1:4" x14ac:dyDescent="0.25">
      <c r="A7135" t="s">
        <v>639</v>
      </c>
      <c r="B7135" t="s">
        <v>135</v>
      </c>
      <c r="C7135" s="2">
        <f>HYPERLINK("https://svao.dolgi.msk.ru/account/1760143105/", 1760143105)</f>
        <v>1760143105</v>
      </c>
      <c r="D7135">
        <v>3758.8</v>
      </c>
    </row>
    <row r="7136" spans="1:4" x14ac:dyDescent="0.25">
      <c r="A7136" t="s">
        <v>639</v>
      </c>
      <c r="B7136" t="s">
        <v>88</v>
      </c>
      <c r="C7136" s="2">
        <f>HYPERLINK("https://svao.dolgi.msk.ru/account/1760143164/", 1760143164)</f>
        <v>1760143164</v>
      </c>
      <c r="D7136">
        <v>128352.03</v>
      </c>
    </row>
    <row r="7137" spans="1:4" x14ac:dyDescent="0.25">
      <c r="A7137" t="s">
        <v>639</v>
      </c>
      <c r="B7137" t="s">
        <v>246</v>
      </c>
      <c r="C7137" s="2">
        <f>HYPERLINK("https://svao.dolgi.msk.ru/account/1760143236/", 1760143236)</f>
        <v>1760143236</v>
      </c>
      <c r="D7137">
        <v>4175.95</v>
      </c>
    </row>
    <row r="7138" spans="1:4" x14ac:dyDescent="0.25">
      <c r="A7138" t="s">
        <v>639</v>
      </c>
      <c r="B7138" t="s">
        <v>43</v>
      </c>
      <c r="C7138" s="2">
        <f>HYPERLINK("https://svao.dolgi.msk.ru/account/1760143252/", 1760143252)</f>
        <v>1760143252</v>
      </c>
      <c r="D7138">
        <v>3006.25</v>
      </c>
    </row>
    <row r="7139" spans="1:4" x14ac:dyDescent="0.25">
      <c r="A7139" t="s">
        <v>639</v>
      </c>
      <c r="B7139" t="s">
        <v>140</v>
      </c>
      <c r="C7139" s="2">
        <f>HYPERLINK("https://svao.dolgi.msk.ru/account/1760143279/", 1760143279)</f>
        <v>1760143279</v>
      </c>
      <c r="D7139">
        <v>3875.6</v>
      </c>
    </row>
    <row r="7140" spans="1:4" x14ac:dyDescent="0.25">
      <c r="A7140" t="s">
        <v>639</v>
      </c>
      <c r="B7140" t="s">
        <v>44</v>
      </c>
      <c r="C7140" s="2">
        <f>HYPERLINK("https://svao.dolgi.msk.ru/account/1760143287/", 1760143287)</f>
        <v>1760143287</v>
      </c>
      <c r="D7140">
        <v>2489.65</v>
      </c>
    </row>
    <row r="7141" spans="1:4" x14ac:dyDescent="0.25">
      <c r="A7141" t="s">
        <v>640</v>
      </c>
      <c r="B7141" t="s">
        <v>247</v>
      </c>
      <c r="C7141" s="2">
        <f>HYPERLINK("https://svao.dolgi.msk.ru/account/1760145688/", 1760145688)</f>
        <v>1760145688</v>
      </c>
      <c r="D7141">
        <v>3848.59</v>
      </c>
    </row>
    <row r="7142" spans="1:4" x14ac:dyDescent="0.25">
      <c r="A7142" t="s">
        <v>640</v>
      </c>
      <c r="B7142" t="s">
        <v>45</v>
      </c>
      <c r="C7142" s="2">
        <f>HYPERLINK("https://svao.dolgi.msk.ru/account/1760145717/", 1760145717)</f>
        <v>1760145717</v>
      </c>
      <c r="D7142">
        <v>4053.71</v>
      </c>
    </row>
    <row r="7143" spans="1:4" x14ac:dyDescent="0.25">
      <c r="A7143" t="s">
        <v>640</v>
      </c>
      <c r="B7143" t="s">
        <v>315</v>
      </c>
      <c r="C7143" s="2">
        <f>HYPERLINK("https://svao.dolgi.msk.ru/account/1760145733/", 1760145733)</f>
        <v>1760145733</v>
      </c>
      <c r="D7143">
        <v>5734.68</v>
      </c>
    </row>
    <row r="7144" spans="1:4" x14ac:dyDescent="0.25">
      <c r="A7144" t="s">
        <v>640</v>
      </c>
      <c r="B7144" t="s">
        <v>339</v>
      </c>
      <c r="C7144" s="2">
        <f>HYPERLINK("https://svao.dolgi.msk.ru/account/1760145805/", 1760145805)</f>
        <v>1760145805</v>
      </c>
      <c r="D7144">
        <v>3593.86</v>
      </c>
    </row>
    <row r="7145" spans="1:4" x14ac:dyDescent="0.25">
      <c r="A7145" t="s">
        <v>640</v>
      </c>
      <c r="B7145" t="s">
        <v>250</v>
      </c>
      <c r="C7145" s="2">
        <f>HYPERLINK("https://svao.dolgi.msk.ru/account/1760145821/", 1760145821)</f>
        <v>1760145821</v>
      </c>
      <c r="D7145">
        <v>6714.63</v>
      </c>
    </row>
    <row r="7146" spans="1:4" x14ac:dyDescent="0.25">
      <c r="A7146" t="s">
        <v>640</v>
      </c>
      <c r="B7146" t="s">
        <v>146</v>
      </c>
      <c r="C7146" s="2">
        <f>HYPERLINK("https://svao.dolgi.msk.ru/account/1760145848/", 1760145848)</f>
        <v>1760145848</v>
      </c>
      <c r="D7146">
        <v>3352.51</v>
      </c>
    </row>
    <row r="7147" spans="1:4" x14ac:dyDescent="0.25">
      <c r="A7147" t="s">
        <v>640</v>
      </c>
      <c r="B7147" t="s">
        <v>49</v>
      </c>
      <c r="C7147" s="2">
        <f>HYPERLINK("https://svao.dolgi.msk.ru/account/1760145864/", 1760145864)</f>
        <v>1760145864</v>
      </c>
      <c r="D7147">
        <v>3580.02</v>
      </c>
    </row>
    <row r="7148" spans="1:4" x14ac:dyDescent="0.25">
      <c r="A7148" t="s">
        <v>640</v>
      </c>
      <c r="B7148" t="s">
        <v>252</v>
      </c>
      <c r="C7148" s="2">
        <f>HYPERLINK("https://svao.dolgi.msk.ru/account/1760145928/", 1760145928)</f>
        <v>1760145928</v>
      </c>
      <c r="D7148">
        <v>395.25</v>
      </c>
    </row>
    <row r="7149" spans="1:4" x14ac:dyDescent="0.25">
      <c r="A7149" t="s">
        <v>640</v>
      </c>
      <c r="B7149" t="s">
        <v>331</v>
      </c>
      <c r="C7149" s="2">
        <f>HYPERLINK("https://svao.dolgi.msk.ru/account/1760145987/", 1760145987)</f>
        <v>1760145987</v>
      </c>
      <c r="D7149">
        <v>5743.65</v>
      </c>
    </row>
    <row r="7150" spans="1:4" x14ac:dyDescent="0.25">
      <c r="A7150" t="s">
        <v>640</v>
      </c>
      <c r="B7150" t="s">
        <v>307</v>
      </c>
      <c r="C7150" s="2">
        <f>HYPERLINK("https://svao.dolgi.msk.ru/account/1760146058/", 1760146058)</f>
        <v>1760146058</v>
      </c>
      <c r="D7150">
        <v>9022.7099999999991</v>
      </c>
    </row>
    <row r="7151" spans="1:4" x14ac:dyDescent="0.25">
      <c r="A7151" t="s">
        <v>640</v>
      </c>
      <c r="B7151" t="s">
        <v>150</v>
      </c>
      <c r="C7151" s="2">
        <f>HYPERLINK("https://svao.dolgi.msk.ru/account/1760146066/", 1760146066)</f>
        <v>1760146066</v>
      </c>
      <c r="D7151">
        <v>2425.08</v>
      </c>
    </row>
    <row r="7152" spans="1:4" x14ac:dyDescent="0.25">
      <c r="A7152" t="s">
        <v>640</v>
      </c>
      <c r="B7152" t="s">
        <v>151</v>
      </c>
      <c r="C7152" s="2">
        <f>HYPERLINK("https://svao.dolgi.msk.ru/account/1760146074/", 1760146074)</f>
        <v>1760146074</v>
      </c>
      <c r="D7152">
        <v>3656.75</v>
      </c>
    </row>
    <row r="7153" spans="1:4" x14ac:dyDescent="0.25">
      <c r="A7153" t="s">
        <v>640</v>
      </c>
      <c r="B7153" t="s">
        <v>54</v>
      </c>
      <c r="C7153" s="2">
        <f>HYPERLINK("https://svao.dolgi.msk.ru/account/1760146154/", 1760146154)</f>
        <v>1760146154</v>
      </c>
      <c r="D7153">
        <v>6237.43</v>
      </c>
    </row>
    <row r="7154" spans="1:4" x14ac:dyDescent="0.25">
      <c r="A7154" t="s">
        <v>640</v>
      </c>
      <c r="B7154" t="s">
        <v>308</v>
      </c>
      <c r="C7154" s="2">
        <f>HYPERLINK("https://svao.dolgi.msk.ru/account/1760146189/", 1760146189)</f>
        <v>1760146189</v>
      </c>
      <c r="D7154">
        <v>5686.98</v>
      </c>
    </row>
    <row r="7155" spans="1:4" x14ac:dyDescent="0.25">
      <c r="A7155" t="s">
        <v>640</v>
      </c>
      <c r="B7155" t="s">
        <v>254</v>
      </c>
      <c r="C7155" s="2">
        <f>HYPERLINK("https://svao.dolgi.msk.ru/account/1760146218/", 1760146218)</f>
        <v>1760146218</v>
      </c>
      <c r="D7155">
        <v>3146.82</v>
      </c>
    </row>
    <row r="7156" spans="1:4" x14ac:dyDescent="0.25">
      <c r="A7156" t="s">
        <v>640</v>
      </c>
      <c r="B7156" t="s">
        <v>327</v>
      </c>
      <c r="C7156" s="2">
        <f>HYPERLINK("https://svao.dolgi.msk.ru/account/1760146293/", 1760146293)</f>
        <v>1760146293</v>
      </c>
      <c r="D7156">
        <v>4966.78</v>
      </c>
    </row>
    <row r="7157" spans="1:4" x14ac:dyDescent="0.25">
      <c r="A7157" t="s">
        <v>640</v>
      </c>
      <c r="B7157" t="s">
        <v>157</v>
      </c>
      <c r="C7157" s="2">
        <f>HYPERLINK("https://svao.dolgi.msk.ru/account/1760146381/", 1760146381)</f>
        <v>1760146381</v>
      </c>
      <c r="D7157">
        <v>4793.41</v>
      </c>
    </row>
    <row r="7158" spans="1:4" x14ac:dyDescent="0.25">
      <c r="A7158" t="s">
        <v>640</v>
      </c>
      <c r="B7158" t="s">
        <v>341</v>
      </c>
      <c r="C7158" s="2">
        <f>HYPERLINK("https://svao.dolgi.msk.ru/account/1760146437/", 1760146437)</f>
        <v>1760146437</v>
      </c>
      <c r="D7158">
        <v>8100.79</v>
      </c>
    </row>
    <row r="7159" spans="1:4" x14ac:dyDescent="0.25">
      <c r="A7159" t="s">
        <v>640</v>
      </c>
      <c r="B7159" t="s">
        <v>299</v>
      </c>
      <c r="C7159" s="2">
        <f>HYPERLINK("https://svao.dolgi.msk.ru/account/1760146488/", 1760146488)</f>
        <v>1760146488</v>
      </c>
      <c r="D7159">
        <v>1765.25</v>
      </c>
    </row>
    <row r="7160" spans="1:4" x14ac:dyDescent="0.25">
      <c r="A7160" t="s">
        <v>640</v>
      </c>
      <c r="B7160" t="s">
        <v>160</v>
      </c>
      <c r="C7160" s="2">
        <f>HYPERLINK("https://svao.dolgi.msk.ru/account/1760146648/", 1760146648)</f>
        <v>1760146648</v>
      </c>
      <c r="D7160">
        <v>2826.1</v>
      </c>
    </row>
    <row r="7161" spans="1:4" x14ac:dyDescent="0.25">
      <c r="A7161" t="s">
        <v>640</v>
      </c>
      <c r="B7161" t="s">
        <v>346</v>
      </c>
      <c r="C7161" s="2">
        <f>HYPERLINK("https://svao.dolgi.msk.ru/account/1760146736/", 1760146736)</f>
        <v>1760146736</v>
      </c>
      <c r="D7161">
        <v>9170.34</v>
      </c>
    </row>
    <row r="7162" spans="1:4" x14ac:dyDescent="0.25">
      <c r="A7162" t="s">
        <v>640</v>
      </c>
      <c r="B7162" t="s">
        <v>67</v>
      </c>
      <c r="C7162" s="2">
        <f>HYPERLINK("https://svao.dolgi.msk.ru/account/1760146744/", 1760146744)</f>
        <v>1760146744</v>
      </c>
      <c r="D7162">
        <v>4553.6899999999996</v>
      </c>
    </row>
    <row r="7163" spans="1:4" x14ac:dyDescent="0.25">
      <c r="A7163" t="s">
        <v>640</v>
      </c>
      <c r="B7163" t="s">
        <v>379</v>
      </c>
      <c r="C7163" s="2">
        <f>HYPERLINK("https://svao.dolgi.msk.ru/account/1760146752/", 1760146752)</f>
        <v>1760146752</v>
      </c>
      <c r="D7163">
        <v>5313.14</v>
      </c>
    </row>
    <row r="7164" spans="1:4" x14ac:dyDescent="0.25">
      <c r="A7164" t="s">
        <v>640</v>
      </c>
      <c r="B7164" t="s">
        <v>162</v>
      </c>
      <c r="C7164" s="2">
        <f>HYPERLINK("https://svao.dolgi.msk.ru/account/1760146808/", 1760146808)</f>
        <v>1760146808</v>
      </c>
      <c r="D7164">
        <v>9239</v>
      </c>
    </row>
    <row r="7165" spans="1:4" x14ac:dyDescent="0.25">
      <c r="A7165" t="s">
        <v>640</v>
      </c>
      <c r="B7165" t="s">
        <v>164</v>
      </c>
      <c r="C7165" s="2">
        <f>HYPERLINK("https://svao.dolgi.msk.ru/account/1760146867/", 1760146867)</f>
        <v>1760146867</v>
      </c>
      <c r="D7165">
        <v>8900.15</v>
      </c>
    </row>
    <row r="7166" spans="1:4" x14ac:dyDescent="0.25">
      <c r="A7166" t="s">
        <v>640</v>
      </c>
      <c r="B7166" t="s">
        <v>70</v>
      </c>
      <c r="C7166" s="2">
        <f>HYPERLINK("https://svao.dolgi.msk.ru/account/1760146891/", 1760146891)</f>
        <v>1760146891</v>
      </c>
      <c r="D7166">
        <v>12406.35</v>
      </c>
    </row>
    <row r="7167" spans="1:4" x14ac:dyDescent="0.25">
      <c r="A7167" t="s">
        <v>641</v>
      </c>
      <c r="B7167" t="s">
        <v>7</v>
      </c>
      <c r="C7167" s="2">
        <f>HYPERLINK("https://svao.dolgi.msk.ru/account/1760159289/", 1760159289)</f>
        <v>1760159289</v>
      </c>
      <c r="D7167">
        <v>8307.5499999999993</v>
      </c>
    </row>
    <row r="7168" spans="1:4" x14ac:dyDescent="0.25">
      <c r="A7168" t="s">
        <v>641</v>
      </c>
      <c r="B7168" t="s">
        <v>141</v>
      </c>
      <c r="C7168" s="2">
        <f>HYPERLINK("https://svao.dolgi.msk.ru/account/1760159318/", 1760159318)</f>
        <v>1760159318</v>
      </c>
      <c r="D7168">
        <v>5329.57</v>
      </c>
    </row>
    <row r="7169" spans="1:4" x14ac:dyDescent="0.25">
      <c r="A7169" t="s">
        <v>641</v>
      </c>
      <c r="B7169" t="s">
        <v>74</v>
      </c>
      <c r="C7169" s="2">
        <f>HYPERLINK("https://svao.dolgi.msk.ru/account/1760159385/", 1760159385)</f>
        <v>1760159385</v>
      </c>
      <c r="D7169">
        <v>3719.03</v>
      </c>
    </row>
    <row r="7170" spans="1:4" x14ac:dyDescent="0.25">
      <c r="A7170" t="s">
        <v>641</v>
      </c>
      <c r="B7170" t="s">
        <v>9</v>
      </c>
      <c r="C7170" s="2">
        <f>HYPERLINK("https://svao.dolgi.msk.ru/account/1760159406/", 1760159406)</f>
        <v>1760159406</v>
      </c>
      <c r="D7170">
        <v>7304.68</v>
      </c>
    </row>
    <row r="7171" spans="1:4" x14ac:dyDescent="0.25">
      <c r="A7171" t="s">
        <v>641</v>
      </c>
      <c r="B7171" t="s">
        <v>75</v>
      </c>
      <c r="C7171" s="2">
        <f>HYPERLINK("https://svao.dolgi.msk.ru/account/1760159414/", 1760159414)</f>
        <v>1760159414</v>
      </c>
      <c r="D7171">
        <v>3491.62</v>
      </c>
    </row>
    <row r="7172" spans="1:4" x14ac:dyDescent="0.25">
      <c r="A7172" t="s">
        <v>641</v>
      </c>
      <c r="B7172" t="s">
        <v>219</v>
      </c>
      <c r="C7172" s="2">
        <f>HYPERLINK("https://svao.dolgi.msk.ru/account/1760159457/", 1760159457)</f>
        <v>1760159457</v>
      </c>
      <c r="D7172">
        <v>2176.89</v>
      </c>
    </row>
    <row r="7173" spans="1:4" x14ac:dyDescent="0.25">
      <c r="A7173" t="s">
        <v>641</v>
      </c>
      <c r="B7173" t="s">
        <v>11</v>
      </c>
      <c r="C7173" s="2">
        <f>HYPERLINK("https://svao.dolgi.msk.ru/account/1760159465/", 1760159465)</f>
        <v>1760159465</v>
      </c>
      <c r="D7173">
        <v>3135.21</v>
      </c>
    </row>
    <row r="7174" spans="1:4" x14ac:dyDescent="0.25">
      <c r="A7174" t="s">
        <v>641</v>
      </c>
      <c r="B7174" t="s">
        <v>11</v>
      </c>
      <c r="C7174" s="2">
        <f>HYPERLINK("https://svao.dolgi.msk.ru/account/1760255537/", 1760255537)</f>
        <v>1760255537</v>
      </c>
      <c r="D7174">
        <v>712.78</v>
      </c>
    </row>
    <row r="7175" spans="1:4" x14ac:dyDescent="0.25">
      <c r="A7175" t="s">
        <v>641</v>
      </c>
      <c r="B7175" t="s">
        <v>12</v>
      </c>
      <c r="C7175" s="2">
        <f>HYPERLINK("https://svao.dolgi.msk.ru/account/1760159473/", 1760159473)</f>
        <v>1760159473</v>
      </c>
      <c r="D7175">
        <v>7138.22</v>
      </c>
    </row>
    <row r="7176" spans="1:4" x14ac:dyDescent="0.25">
      <c r="A7176" t="s">
        <v>641</v>
      </c>
      <c r="B7176" t="s">
        <v>16</v>
      </c>
      <c r="C7176" s="2">
        <f>HYPERLINK("https://svao.dolgi.msk.ru/account/1760159561/", 1760159561)</f>
        <v>1760159561</v>
      </c>
      <c r="D7176">
        <v>12823.28</v>
      </c>
    </row>
    <row r="7177" spans="1:4" x14ac:dyDescent="0.25">
      <c r="A7177" t="s">
        <v>641</v>
      </c>
      <c r="B7177" t="s">
        <v>17</v>
      </c>
      <c r="C7177" s="2">
        <f>HYPERLINK("https://svao.dolgi.msk.ru/account/1760159588/", 1760159588)</f>
        <v>1760159588</v>
      </c>
      <c r="D7177">
        <v>6963.59</v>
      </c>
    </row>
    <row r="7178" spans="1:4" x14ac:dyDescent="0.25">
      <c r="A7178" t="s">
        <v>641</v>
      </c>
      <c r="B7178" t="s">
        <v>18</v>
      </c>
      <c r="C7178" s="2">
        <f>HYPERLINK("https://svao.dolgi.msk.ru/account/1760159596/", 1760159596)</f>
        <v>1760159596</v>
      </c>
      <c r="D7178">
        <v>5939.85</v>
      </c>
    </row>
    <row r="7179" spans="1:4" x14ac:dyDescent="0.25">
      <c r="A7179" t="s">
        <v>641</v>
      </c>
      <c r="B7179" t="s">
        <v>109</v>
      </c>
      <c r="C7179" s="2">
        <f>HYPERLINK("https://svao.dolgi.msk.ru/account/1760159617/", 1760159617)</f>
        <v>1760159617</v>
      </c>
      <c r="D7179">
        <v>10148.09</v>
      </c>
    </row>
    <row r="7180" spans="1:4" x14ac:dyDescent="0.25">
      <c r="A7180" t="s">
        <v>641</v>
      </c>
      <c r="B7180" t="s">
        <v>21</v>
      </c>
      <c r="C7180" s="2">
        <f>HYPERLINK("https://svao.dolgi.msk.ru/account/1760159721/", 1760159721)</f>
        <v>1760159721</v>
      </c>
      <c r="D7180">
        <v>3120.69</v>
      </c>
    </row>
    <row r="7181" spans="1:4" x14ac:dyDescent="0.25">
      <c r="A7181" t="s">
        <v>641</v>
      </c>
      <c r="B7181" t="s">
        <v>78</v>
      </c>
      <c r="C7181" s="2">
        <f>HYPERLINK("https://svao.dolgi.msk.ru/account/1760159764/", 1760159764)</f>
        <v>1760159764</v>
      </c>
      <c r="D7181">
        <v>4780.5600000000004</v>
      </c>
    </row>
    <row r="7182" spans="1:4" x14ac:dyDescent="0.25">
      <c r="A7182" t="s">
        <v>641</v>
      </c>
      <c r="B7182" t="s">
        <v>79</v>
      </c>
      <c r="C7182" s="2">
        <f>HYPERLINK("https://svao.dolgi.msk.ru/account/1760159799/", 1760159799)</f>
        <v>1760159799</v>
      </c>
      <c r="D7182">
        <v>3637.76</v>
      </c>
    </row>
    <row r="7183" spans="1:4" x14ac:dyDescent="0.25">
      <c r="A7183" t="s">
        <v>641</v>
      </c>
      <c r="B7183" t="s">
        <v>117</v>
      </c>
      <c r="C7183" s="2">
        <f>HYPERLINK("https://svao.dolgi.msk.ru/account/1760159836/", 1760159836)</f>
        <v>1760159836</v>
      </c>
      <c r="D7183">
        <v>4018.13</v>
      </c>
    </row>
    <row r="7184" spans="1:4" x14ac:dyDescent="0.25">
      <c r="A7184" t="s">
        <v>641</v>
      </c>
      <c r="B7184" t="s">
        <v>320</v>
      </c>
      <c r="C7184" s="2">
        <f>HYPERLINK("https://svao.dolgi.msk.ru/account/1760159852/", 1760159852)</f>
        <v>1760159852</v>
      </c>
      <c r="D7184">
        <v>7260.05</v>
      </c>
    </row>
    <row r="7185" spans="1:4" x14ac:dyDescent="0.25">
      <c r="A7185" t="s">
        <v>641</v>
      </c>
      <c r="B7185" t="s">
        <v>314</v>
      </c>
      <c r="C7185" s="2">
        <f>HYPERLINK("https://svao.dolgi.msk.ru/account/1760159887/", 1760159887)</f>
        <v>1760159887</v>
      </c>
      <c r="D7185">
        <v>3852.88</v>
      </c>
    </row>
    <row r="7186" spans="1:4" x14ac:dyDescent="0.25">
      <c r="A7186" t="s">
        <v>641</v>
      </c>
      <c r="B7186" t="s">
        <v>95</v>
      </c>
      <c r="C7186" s="2">
        <f>HYPERLINK("https://svao.dolgi.msk.ru/account/1760159908/", 1760159908)</f>
        <v>1760159908</v>
      </c>
      <c r="D7186">
        <v>5612.55</v>
      </c>
    </row>
    <row r="7187" spans="1:4" x14ac:dyDescent="0.25">
      <c r="A7187" t="s">
        <v>641</v>
      </c>
      <c r="B7187" t="s">
        <v>125</v>
      </c>
      <c r="C7187" s="2">
        <f>HYPERLINK("https://svao.dolgi.msk.ru/account/1760159924/", 1760159924)</f>
        <v>1760159924</v>
      </c>
      <c r="D7187">
        <v>3460.85</v>
      </c>
    </row>
    <row r="7188" spans="1:4" x14ac:dyDescent="0.25">
      <c r="A7188" t="s">
        <v>641</v>
      </c>
      <c r="B7188" t="s">
        <v>127</v>
      </c>
      <c r="C7188" s="2">
        <f>HYPERLINK("https://svao.dolgi.msk.ru/account/1760159975/", 1760159975)</f>
        <v>1760159975</v>
      </c>
      <c r="D7188">
        <v>3582.46</v>
      </c>
    </row>
    <row r="7189" spans="1:4" x14ac:dyDescent="0.25">
      <c r="A7189" t="s">
        <v>641</v>
      </c>
      <c r="B7189" t="s">
        <v>81</v>
      </c>
      <c r="C7189" s="2">
        <f>HYPERLINK("https://svao.dolgi.msk.ru/account/1760159983/", 1760159983)</f>
        <v>1760159983</v>
      </c>
      <c r="D7189">
        <v>4811.3599999999997</v>
      </c>
    </row>
    <row r="7190" spans="1:4" x14ac:dyDescent="0.25">
      <c r="A7190" t="s">
        <v>641</v>
      </c>
      <c r="B7190" t="s">
        <v>128</v>
      </c>
      <c r="C7190" s="2">
        <f>HYPERLINK("https://svao.dolgi.msk.ru/account/1760160036/", 1760160036)</f>
        <v>1760160036</v>
      </c>
      <c r="D7190">
        <v>3444.09</v>
      </c>
    </row>
    <row r="7191" spans="1:4" x14ac:dyDescent="0.25">
      <c r="A7191" t="s">
        <v>641</v>
      </c>
      <c r="B7191" t="s">
        <v>25</v>
      </c>
      <c r="C7191" s="2">
        <f>HYPERLINK("https://svao.dolgi.msk.ru/account/1760160044/", 1760160044)</f>
        <v>1760160044</v>
      </c>
      <c r="D7191">
        <v>2775.58</v>
      </c>
    </row>
    <row r="7192" spans="1:4" x14ac:dyDescent="0.25">
      <c r="A7192" t="s">
        <v>641</v>
      </c>
      <c r="B7192" t="s">
        <v>243</v>
      </c>
      <c r="C7192" s="2">
        <f>HYPERLINK("https://svao.dolgi.msk.ru/account/1760160132/", 1760160132)</f>
        <v>1760160132</v>
      </c>
      <c r="D7192">
        <v>5021.95</v>
      </c>
    </row>
    <row r="7193" spans="1:4" x14ac:dyDescent="0.25">
      <c r="A7193" t="s">
        <v>641</v>
      </c>
      <c r="B7193" t="s">
        <v>28</v>
      </c>
      <c r="C7193" s="2">
        <f>HYPERLINK("https://svao.dolgi.msk.ru/account/1760160183/", 1760160183)</f>
        <v>1760160183</v>
      </c>
      <c r="D7193">
        <v>5865.28</v>
      </c>
    </row>
    <row r="7194" spans="1:4" x14ac:dyDescent="0.25">
      <c r="A7194" t="s">
        <v>641</v>
      </c>
      <c r="B7194" t="s">
        <v>29</v>
      </c>
      <c r="C7194" s="2">
        <f>HYPERLINK("https://svao.dolgi.msk.ru/account/1760160191/", 1760160191)</f>
        <v>1760160191</v>
      </c>
      <c r="D7194">
        <v>4376.7299999999996</v>
      </c>
    </row>
    <row r="7195" spans="1:4" x14ac:dyDescent="0.25">
      <c r="A7195" t="s">
        <v>641</v>
      </c>
      <c r="B7195" t="s">
        <v>244</v>
      </c>
      <c r="C7195" s="2">
        <f>HYPERLINK("https://svao.dolgi.msk.ru/account/1760160204/", 1760160204)</f>
        <v>1760160204</v>
      </c>
      <c r="D7195">
        <v>2498.42</v>
      </c>
    </row>
    <row r="7196" spans="1:4" x14ac:dyDescent="0.25">
      <c r="A7196" t="s">
        <v>641</v>
      </c>
      <c r="B7196" t="s">
        <v>97</v>
      </c>
      <c r="C7196" s="2">
        <f>HYPERLINK("https://svao.dolgi.msk.ru/account/1760160247/", 1760160247)</f>
        <v>1760160247</v>
      </c>
      <c r="D7196">
        <v>8173.11</v>
      </c>
    </row>
    <row r="7197" spans="1:4" x14ac:dyDescent="0.25">
      <c r="A7197" t="s">
        <v>641</v>
      </c>
      <c r="B7197" t="s">
        <v>291</v>
      </c>
      <c r="C7197" s="2">
        <f>HYPERLINK("https://svao.dolgi.msk.ru/account/1760160298/", 1760160298)</f>
        <v>1760160298</v>
      </c>
      <c r="D7197">
        <v>7392.66</v>
      </c>
    </row>
    <row r="7198" spans="1:4" x14ac:dyDescent="0.25">
      <c r="A7198" t="s">
        <v>641</v>
      </c>
      <c r="B7198" t="s">
        <v>32</v>
      </c>
      <c r="C7198" s="2">
        <f>HYPERLINK("https://svao.dolgi.msk.ru/account/1760160327/", 1760160327)</f>
        <v>1760160327</v>
      </c>
      <c r="D7198">
        <v>7277.3</v>
      </c>
    </row>
    <row r="7199" spans="1:4" x14ac:dyDescent="0.25">
      <c r="A7199" t="s">
        <v>641</v>
      </c>
      <c r="B7199" t="s">
        <v>32</v>
      </c>
      <c r="C7199" s="2">
        <f>HYPERLINK("https://svao.dolgi.msk.ru/account/1760160335/", 1760160335)</f>
        <v>1760160335</v>
      </c>
      <c r="D7199">
        <v>12153.19</v>
      </c>
    </row>
    <row r="7200" spans="1:4" x14ac:dyDescent="0.25">
      <c r="A7200" t="s">
        <v>641</v>
      </c>
      <c r="B7200" t="s">
        <v>34</v>
      </c>
      <c r="C7200" s="2">
        <f>HYPERLINK("https://svao.dolgi.msk.ru/account/1760160378/", 1760160378)</f>
        <v>1760160378</v>
      </c>
      <c r="D7200">
        <v>4963.46</v>
      </c>
    </row>
    <row r="7201" spans="1:4" x14ac:dyDescent="0.25">
      <c r="A7201" t="s">
        <v>641</v>
      </c>
      <c r="B7201" t="s">
        <v>38</v>
      </c>
      <c r="C7201" s="2">
        <f>HYPERLINK("https://svao.dolgi.msk.ru/account/1760160511/", 1760160511)</f>
        <v>1760160511</v>
      </c>
      <c r="D7201">
        <v>7376.5</v>
      </c>
    </row>
    <row r="7202" spans="1:4" x14ac:dyDescent="0.25">
      <c r="A7202" t="s">
        <v>642</v>
      </c>
      <c r="B7202" t="s">
        <v>6</v>
      </c>
      <c r="C7202" s="2">
        <f>HYPERLINK("https://svao.dolgi.msk.ru/account/1760056909/", 1760056909)</f>
        <v>1760056909</v>
      </c>
      <c r="D7202">
        <v>3974.51</v>
      </c>
    </row>
    <row r="7203" spans="1:4" x14ac:dyDescent="0.25">
      <c r="A7203" t="s">
        <v>642</v>
      </c>
      <c r="B7203" t="s">
        <v>102</v>
      </c>
      <c r="C7203" s="2">
        <f>HYPERLINK("https://svao.dolgi.msk.ru/account/1760056976/", 1760056976)</f>
        <v>1760056976</v>
      </c>
      <c r="D7203">
        <v>3712.39</v>
      </c>
    </row>
    <row r="7204" spans="1:4" x14ac:dyDescent="0.25">
      <c r="A7204" t="s">
        <v>642</v>
      </c>
      <c r="B7204" t="s">
        <v>137</v>
      </c>
      <c r="C7204" s="2">
        <f>HYPERLINK("https://svao.dolgi.msk.ru/account/1760057047/", 1760057047)</f>
        <v>1760057047</v>
      </c>
      <c r="D7204">
        <v>28949.11</v>
      </c>
    </row>
    <row r="7205" spans="1:4" x14ac:dyDescent="0.25">
      <c r="A7205" t="s">
        <v>642</v>
      </c>
      <c r="B7205" t="s">
        <v>9</v>
      </c>
      <c r="C7205" s="2">
        <f>HYPERLINK("https://svao.dolgi.msk.ru/account/1760057055/", 1760057055)</f>
        <v>1760057055</v>
      </c>
      <c r="D7205">
        <v>3110.26</v>
      </c>
    </row>
    <row r="7206" spans="1:4" x14ac:dyDescent="0.25">
      <c r="A7206" t="s">
        <v>642</v>
      </c>
      <c r="B7206" t="s">
        <v>219</v>
      </c>
      <c r="C7206" s="2">
        <f>HYPERLINK("https://svao.dolgi.msk.ru/account/1760057119/", 1760057119)</f>
        <v>1760057119</v>
      </c>
      <c r="D7206">
        <v>7568.36</v>
      </c>
    </row>
    <row r="7207" spans="1:4" x14ac:dyDescent="0.25">
      <c r="A7207" t="s">
        <v>642</v>
      </c>
      <c r="B7207" t="s">
        <v>11</v>
      </c>
      <c r="C7207" s="2">
        <f>HYPERLINK("https://svao.dolgi.msk.ru/account/1760057127/", 1760057127)</f>
        <v>1760057127</v>
      </c>
      <c r="D7207">
        <v>4987.55</v>
      </c>
    </row>
    <row r="7208" spans="1:4" x14ac:dyDescent="0.25">
      <c r="A7208" t="s">
        <v>642</v>
      </c>
      <c r="B7208" t="s">
        <v>13</v>
      </c>
      <c r="C7208" s="2">
        <f>HYPERLINK("https://svao.dolgi.msk.ru/account/1760057143/", 1760057143)</f>
        <v>1760057143</v>
      </c>
      <c r="D7208">
        <v>1076.24</v>
      </c>
    </row>
    <row r="7209" spans="1:4" x14ac:dyDescent="0.25">
      <c r="A7209" t="s">
        <v>642</v>
      </c>
      <c r="B7209" t="s">
        <v>106</v>
      </c>
      <c r="C7209" s="2">
        <f>HYPERLINK("https://svao.dolgi.msk.ru/account/1760057178/", 1760057178)</f>
        <v>1760057178</v>
      </c>
      <c r="D7209">
        <v>10283.209999999999</v>
      </c>
    </row>
    <row r="7210" spans="1:4" x14ac:dyDescent="0.25">
      <c r="A7210" t="s">
        <v>642</v>
      </c>
      <c r="B7210" t="s">
        <v>17</v>
      </c>
      <c r="C7210" s="2">
        <f>HYPERLINK("https://svao.dolgi.msk.ru/account/1760057223/", 1760057223)</f>
        <v>1760057223</v>
      </c>
      <c r="D7210">
        <v>11720.99</v>
      </c>
    </row>
    <row r="7211" spans="1:4" x14ac:dyDescent="0.25">
      <c r="A7211" t="s">
        <v>642</v>
      </c>
      <c r="B7211" t="s">
        <v>18</v>
      </c>
      <c r="C7211" s="2">
        <f>HYPERLINK("https://svao.dolgi.msk.ru/account/1760057231/", 1760057231)</f>
        <v>1760057231</v>
      </c>
      <c r="D7211">
        <v>5643.56</v>
      </c>
    </row>
    <row r="7212" spans="1:4" x14ac:dyDescent="0.25">
      <c r="A7212" t="s">
        <v>642</v>
      </c>
      <c r="B7212" t="s">
        <v>76</v>
      </c>
      <c r="C7212" s="2">
        <f>HYPERLINK("https://svao.dolgi.msk.ru/account/1760057303/", 1760057303)</f>
        <v>1760057303</v>
      </c>
      <c r="D7212">
        <v>5392.57</v>
      </c>
    </row>
    <row r="7213" spans="1:4" x14ac:dyDescent="0.25">
      <c r="A7213" t="s">
        <v>642</v>
      </c>
      <c r="B7213" t="s">
        <v>92</v>
      </c>
      <c r="C7213" s="2">
        <f>HYPERLINK("https://svao.dolgi.msk.ru/account/1760057311/", 1760057311)</f>
        <v>1760057311</v>
      </c>
      <c r="D7213">
        <v>1040.72</v>
      </c>
    </row>
    <row r="7214" spans="1:4" x14ac:dyDescent="0.25">
      <c r="A7214" t="s">
        <v>642</v>
      </c>
      <c r="B7214" t="s">
        <v>114</v>
      </c>
      <c r="C7214" s="2">
        <f>HYPERLINK("https://svao.dolgi.msk.ru/account/1760057426/", 1760057426)</f>
        <v>1760057426</v>
      </c>
      <c r="D7214">
        <v>23803.52</v>
      </c>
    </row>
    <row r="7215" spans="1:4" x14ac:dyDescent="0.25">
      <c r="A7215" t="s">
        <v>642</v>
      </c>
      <c r="B7215" t="s">
        <v>78</v>
      </c>
      <c r="C7215" s="2">
        <f>HYPERLINK("https://svao.dolgi.msk.ru/account/1760057434/", 1760057434)</f>
        <v>1760057434</v>
      </c>
      <c r="D7215">
        <v>982.4</v>
      </c>
    </row>
    <row r="7216" spans="1:4" x14ac:dyDescent="0.25">
      <c r="A7216" t="s">
        <v>642</v>
      </c>
      <c r="B7216" t="s">
        <v>23</v>
      </c>
      <c r="C7216" s="2">
        <f>HYPERLINK("https://svao.dolgi.msk.ru/account/1760057477/", 1760057477)</f>
        <v>1760057477</v>
      </c>
      <c r="D7216">
        <v>21083.34</v>
      </c>
    </row>
    <row r="7217" spans="1:4" x14ac:dyDescent="0.25">
      <c r="A7217" t="s">
        <v>642</v>
      </c>
      <c r="B7217" t="s">
        <v>320</v>
      </c>
      <c r="C7217" s="2">
        <f>HYPERLINK("https://svao.dolgi.msk.ru/account/1760057514/", 1760057514)</f>
        <v>1760057514</v>
      </c>
      <c r="D7217">
        <v>6526.78</v>
      </c>
    </row>
    <row r="7218" spans="1:4" x14ac:dyDescent="0.25">
      <c r="A7218" t="s">
        <v>642</v>
      </c>
      <c r="B7218" t="s">
        <v>242</v>
      </c>
      <c r="C7218" s="2">
        <f>HYPERLINK("https://svao.dolgi.msk.ru/account/1760057557/", 1760057557)</f>
        <v>1760057557</v>
      </c>
      <c r="D7218">
        <v>2984.06</v>
      </c>
    </row>
    <row r="7219" spans="1:4" x14ac:dyDescent="0.25">
      <c r="A7219" t="s">
        <v>642</v>
      </c>
      <c r="B7219" t="s">
        <v>95</v>
      </c>
      <c r="C7219" s="2">
        <f>HYPERLINK("https://svao.dolgi.msk.ru/account/1760057565/", 1760057565)</f>
        <v>1760057565</v>
      </c>
      <c r="D7219">
        <v>4638.72</v>
      </c>
    </row>
    <row r="7220" spans="1:4" x14ac:dyDescent="0.25">
      <c r="A7220" t="s">
        <v>642</v>
      </c>
      <c r="B7220" t="s">
        <v>118</v>
      </c>
      <c r="C7220" s="2">
        <f>HYPERLINK("https://svao.dolgi.msk.ru/account/1760057637/", 1760057637)</f>
        <v>1760057637</v>
      </c>
      <c r="D7220">
        <v>5738.97</v>
      </c>
    </row>
    <row r="7221" spans="1:4" x14ac:dyDescent="0.25">
      <c r="A7221" t="s">
        <v>642</v>
      </c>
      <c r="B7221" t="s">
        <v>127</v>
      </c>
      <c r="C7221" s="2">
        <f>HYPERLINK("https://svao.dolgi.msk.ru/account/1760057645/", 1760057645)</f>
        <v>1760057645</v>
      </c>
      <c r="D7221">
        <v>450</v>
      </c>
    </row>
    <row r="7222" spans="1:4" x14ac:dyDescent="0.25">
      <c r="A7222" t="s">
        <v>642</v>
      </c>
      <c r="B7222" t="s">
        <v>82</v>
      </c>
      <c r="C7222" s="2">
        <f>HYPERLINK("https://svao.dolgi.msk.ru/account/1760057696/", 1760057696)</f>
        <v>1760057696</v>
      </c>
      <c r="D7222">
        <v>15416.91</v>
      </c>
    </row>
    <row r="7223" spans="1:4" x14ac:dyDescent="0.25">
      <c r="A7223" t="s">
        <v>642</v>
      </c>
      <c r="B7223" t="s">
        <v>128</v>
      </c>
      <c r="C7223" s="2">
        <f>HYPERLINK("https://svao.dolgi.msk.ru/account/1760057709/", 1760057709)</f>
        <v>1760057709</v>
      </c>
      <c r="D7223">
        <v>20590.25</v>
      </c>
    </row>
    <row r="7224" spans="1:4" x14ac:dyDescent="0.25">
      <c r="A7224" t="s">
        <v>642</v>
      </c>
      <c r="B7224" t="s">
        <v>128</v>
      </c>
      <c r="C7224" s="2">
        <f>HYPERLINK("https://svao.dolgi.msk.ru/account/1761768131/", 1761768131)</f>
        <v>1761768131</v>
      </c>
      <c r="D7224">
        <v>3661.8</v>
      </c>
    </row>
    <row r="7225" spans="1:4" x14ac:dyDescent="0.25">
      <c r="A7225" t="s">
        <v>642</v>
      </c>
      <c r="B7225" t="s">
        <v>133</v>
      </c>
      <c r="C7225" s="2">
        <f>HYPERLINK("https://svao.dolgi.msk.ru/account/1760057768/", 1760057768)</f>
        <v>1760057768</v>
      </c>
      <c r="D7225">
        <v>126547.6</v>
      </c>
    </row>
    <row r="7226" spans="1:4" x14ac:dyDescent="0.25">
      <c r="A7226" t="s">
        <v>642</v>
      </c>
      <c r="B7226" t="s">
        <v>243</v>
      </c>
      <c r="C7226" s="2">
        <f>HYPERLINK("https://svao.dolgi.msk.ru/account/1760057805/", 1760057805)</f>
        <v>1760057805</v>
      </c>
      <c r="D7226">
        <v>237.97</v>
      </c>
    </row>
    <row r="7227" spans="1:4" x14ac:dyDescent="0.25">
      <c r="A7227" t="s">
        <v>642</v>
      </c>
      <c r="B7227" t="s">
        <v>139</v>
      </c>
      <c r="C7227" s="2">
        <f>HYPERLINK("https://svao.dolgi.msk.ru/account/1760057848/", 1760057848)</f>
        <v>1760057848</v>
      </c>
      <c r="D7227">
        <v>4205.93</v>
      </c>
    </row>
    <row r="7228" spans="1:4" x14ac:dyDescent="0.25">
      <c r="A7228" t="s">
        <v>642</v>
      </c>
      <c r="B7228" t="s">
        <v>30</v>
      </c>
      <c r="C7228" s="2">
        <f>HYPERLINK("https://svao.dolgi.msk.ru/account/1760057901/", 1760057901)</f>
        <v>1760057901</v>
      </c>
      <c r="D7228">
        <v>674.9</v>
      </c>
    </row>
    <row r="7229" spans="1:4" x14ac:dyDescent="0.25">
      <c r="A7229" t="s">
        <v>642</v>
      </c>
      <c r="B7229" t="s">
        <v>32</v>
      </c>
      <c r="C7229" s="2">
        <f>HYPERLINK("https://svao.dolgi.msk.ru/account/1760057995/", 1760057995)</f>
        <v>1760057995</v>
      </c>
      <c r="D7229">
        <v>3090.15</v>
      </c>
    </row>
    <row r="7230" spans="1:4" x14ac:dyDescent="0.25">
      <c r="A7230" t="s">
        <v>642</v>
      </c>
      <c r="B7230" t="s">
        <v>37</v>
      </c>
      <c r="C7230" s="2">
        <f>HYPERLINK("https://svao.dolgi.msk.ru/account/1760058162/", 1760058162)</f>
        <v>1760058162</v>
      </c>
      <c r="D7230">
        <v>1897.2</v>
      </c>
    </row>
    <row r="7231" spans="1:4" x14ac:dyDescent="0.25">
      <c r="A7231" t="s">
        <v>642</v>
      </c>
      <c r="B7231" t="s">
        <v>246</v>
      </c>
      <c r="C7231" s="2">
        <f>HYPERLINK("https://svao.dolgi.msk.ru/account/1760058197/", 1760058197)</f>
        <v>1760058197</v>
      </c>
      <c r="D7231">
        <v>2108.23</v>
      </c>
    </row>
    <row r="7232" spans="1:4" x14ac:dyDescent="0.25">
      <c r="A7232" t="s">
        <v>642</v>
      </c>
      <c r="B7232" t="s">
        <v>40</v>
      </c>
      <c r="C7232" s="2">
        <f>HYPERLINK("https://svao.dolgi.msk.ru/account/1760058218/", 1760058218)</f>
        <v>1760058218</v>
      </c>
      <c r="D7232">
        <v>374917.19</v>
      </c>
    </row>
    <row r="7233" spans="1:4" x14ac:dyDescent="0.25">
      <c r="A7233" t="s">
        <v>642</v>
      </c>
      <c r="B7233" t="s">
        <v>44</v>
      </c>
      <c r="C7233" s="2">
        <f>HYPERLINK("https://svao.dolgi.msk.ru/account/1760058242/", 1760058242)</f>
        <v>1760058242</v>
      </c>
      <c r="D7233">
        <v>19203.2</v>
      </c>
    </row>
    <row r="7234" spans="1:4" x14ac:dyDescent="0.25">
      <c r="A7234" t="s">
        <v>642</v>
      </c>
      <c r="B7234" t="s">
        <v>305</v>
      </c>
      <c r="C7234" s="2">
        <f>HYPERLINK("https://svao.dolgi.msk.ru/account/1760058293/", 1760058293)</f>
        <v>1760058293</v>
      </c>
      <c r="D7234">
        <v>520.48</v>
      </c>
    </row>
    <row r="7235" spans="1:4" x14ac:dyDescent="0.25">
      <c r="A7235" t="s">
        <v>642</v>
      </c>
      <c r="B7235" t="s">
        <v>315</v>
      </c>
      <c r="C7235" s="2">
        <f>HYPERLINK("https://svao.dolgi.msk.ru/account/1760058349/", 1760058349)</f>
        <v>1760058349</v>
      </c>
      <c r="D7235">
        <v>2875.93</v>
      </c>
    </row>
    <row r="7236" spans="1:4" x14ac:dyDescent="0.25">
      <c r="A7236" t="s">
        <v>642</v>
      </c>
      <c r="B7236" t="s">
        <v>248</v>
      </c>
      <c r="C7236" s="2">
        <f>HYPERLINK("https://svao.dolgi.msk.ru/account/1760058365/", 1760058365)</f>
        <v>1760058365</v>
      </c>
      <c r="D7236">
        <v>327.33999999999997</v>
      </c>
    </row>
    <row r="7237" spans="1:4" x14ac:dyDescent="0.25">
      <c r="A7237" t="s">
        <v>643</v>
      </c>
      <c r="B7237" t="s">
        <v>101</v>
      </c>
      <c r="C7237" s="2">
        <f>HYPERLINK("https://svao.dolgi.msk.ru/account/1760220959/", 1760220959)</f>
        <v>1760220959</v>
      </c>
      <c r="D7237">
        <v>3400.4</v>
      </c>
    </row>
    <row r="7238" spans="1:4" x14ac:dyDescent="0.25">
      <c r="A7238" t="s">
        <v>643</v>
      </c>
      <c r="B7238" t="s">
        <v>141</v>
      </c>
      <c r="C7238" s="2">
        <f>HYPERLINK("https://svao.dolgi.msk.ru/account/1760220967/", 1760220967)</f>
        <v>1760220967</v>
      </c>
      <c r="D7238">
        <v>3147.24</v>
      </c>
    </row>
    <row r="7239" spans="1:4" x14ac:dyDescent="0.25">
      <c r="A7239" t="s">
        <v>643</v>
      </c>
      <c r="B7239" t="s">
        <v>104</v>
      </c>
      <c r="C7239" s="2">
        <f>HYPERLINK("https://svao.dolgi.msk.ru/account/1760221003/", 1760221003)</f>
        <v>1760221003</v>
      </c>
      <c r="D7239">
        <v>673.28</v>
      </c>
    </row>
    <row r="7240" spans="1:4" x14ac:dyDescent="0.25">
      <c r="A7240" t="s">
        <v>643</v>
      </c>
      <c r="B7240" t="s">
        <v>75</v>
      </c>
      <c r="C7240" s="2">
        <f>HYPERLINK("https://svao.dolgi.msk.ru/account/1760221062/", 1760221062)</f>
        <v>1760221062</v>
      </c>
      <c r="D7240">
        <v>6606.32</v>
      </c>
    </row>
    <row r="7241" spans="1:4" x14ac:dyDescent="0.25">
      <c r="A7241" t="s">
        <v>643</v>
      </c>
      <c r="B7241" t="s">
        <v>91</v>
      </c>
      <c r="C7241" s="2">
        <f>HYPERLINK("https://svao.dolgi.msk.ru/account/1760221089/", 1760221089)</f>
        <v>1760221089</v>
      </c>
      <c r="D7241">
        <v>6755.42</v>
      </c>
    </row>
    <row r="7242" spans="1:4" x14ac:dyDescent="0.25">
      <c r="A7242" t="s">
        <v>643</v>
      </c>
      <c r="B7242" t="s">
        <v>11</v>
      </c>
      <c r="C7242" s="2">
        <f>HYPERLINK("https://svao.dolgi.msk.ru/account/1760221126/", 1760221126)</f>
        <v>1760221126</v>
      </c>
      <c r="D7242">
        <v>5503.59</v>
      </c>
    </row>
    <row r="7243" spans="1:4" x14ac:dyDescent="0.25">
      <c r="A7243" t="s">
        <v>643</v>
      </c>
      <c r="B7243" t="s">
        <v>14</v>
      </c>
      <c r="C7243" s="2">
        <f>HYPERLINK("https://svao.dolgi.msk.ru/account/1760278923/", 1760278923)</f>
        <v>1760278923</v>
      </c>
      <c r="D7243">
        <v>356.91</v>
      </c>
    </row>
    <row r="7244" spans="1:4" x14ac:dyDescent="0.25">
      <c r="A7244" t="s">
        <v>643</v>
      </c>
      <c r="B7244" t="s">
        <v>14</v>
      </c>
      <c r="C7244" s="2">
        <f>HYPERLINK("https://svao.dolgi.msk.ru/account/1761792254/", 1761792254)</f>
        <v>1761792254</v>
      </c>
      <c r="D7244">
        <v>130.08000000000001</v>
      </c>
    </row>
    <row r="7245" spans="1:4" x14ac:dyDescent="0.25">
      <c r="A7245" t="s">
        <v>643</v>
      </c>
      <c r="B7245" t="s">
        <v>106</v>
      </c>
      <c r="C7245" s="2">
        <f>HYPERLINK("https://svao.dolgi.msk.ru/account/1760221644/", 1760221644)</f>
        <v>1760221644</v>
      </c>
      <c r="D7245">
        <v>5509.1</v>
      </c>
    </row>
    <row r="7246" spans="1:4" x14ac:dyDescent="0.25">
      <c r="A7246" t="s">
        <v>643</v>
      </c>
      <c r="B7246" t="s">
        <v>108</v>
      </c>
      <c r="C7246" s="2">
        <f>HYPERLINK("https://svao.dolgi.msk.ru/account/1760221193/", 1760221193)</f>
        <v>1760221193</v>
      </c>
      <c r="D7246">
        <v>3779.43</v>
      </c>
    </row>
    <row r="7247" spans="1:4" x14ac:dyDescent="0.25">
      <c r="A7247" t="s">
        <v>643</v>
      </c>
      <c r="B7247" t="s">
        <v>18</v>
      </c>
      <c r="C7247" s="2">
        <f>HYPERLINK("https://svao.dolgi.msk.ru/account/1760221222/", 1760221222)</f>
        <v>1760221222</v>
      </c>
      <c r="D7247">
        <v>5183.55</v>
      </c>
    </row>
    <row r="7248" spans="1:4" x14ac:dyDescent="0.25">
      <c r="A7248" t="s">
        <v>643</v>
      </c>
      <c r="B7248" t="s">
        <v>19</v>
      </c>
      <c r="C7248" s="2">
        <f>HYPERLINK("https://svao.dolgi.msk.ru/account/1760221249/", 1760221249)</f>
        <v>1760221249</v>
      </c>
      <c r="D7248">
        <v>2464.15</v>
      </c>
    </row>
    <row r="7249" spans="1:4" x14ac:dyDescent="0.25">
      <c r="A7249" t="s">
        <v>643</v>
      </c>
      <c r="B7249" t="s">
        <v>20</v>
      </c>
      <c r="C7249" s="2">
        <f>HYPERLINK("https://svao.dolgi.msk.ru/account/1760221273/", 1760221273)</f>
        <v>1760221273</v>
      </c>
      <c r="D7249">
        <v>151.93</v>
      </c>
    </row>
    <row r="7250" spans="1:4" x14ac:dyDescent="0.25">
      <c r="A7250" t="s">
        <v>643</v>
      </c>
      <c r="B7250" t="s">
        <v>76</v>
      </c>
      <c r="C7250" s="2">
        <f>HYPERLINK("https://svao.dolgi.msk.ru/account/1760221281/", 1760221281)</f>
        <v>1760221281</v>
      </c>
      <c r="D7250">
        <v>4861.17</v>
      </c>
    </row>
    <row r="7251" spans="1:4" x14ac:dyDescent="0.25">
      <c r="A7251" t="s">
        <v>643</v>
      </c>
      <c r="B7251" t="s">
        <v>92</v>
      </c>
      <c r="C7251" s="2">
        <f>HYPERLINK("https://svao.dolgi.msk.ru/account/1760221302/", 1760221302)</f>
        <v>1760221302</v>
      </c>
      <c r="D7251">
        <v>23791.15</v>
      </c>
    </row>
    <row r="7252" spans="1:4" x14ac:dyDescent="0.25">
      <c r="A7252" t="s">
        <v>643</v>
      </c>
      <c r="B7252" t="s">
        <v>93</v>
      </c>
      <c r="C7252" s="2">
        <f>HYPERLINK("https://svao.dolgi.msk.ru/account/1760221329/", 1760221329)</f>
        <v>1760221329</v>
      </c>
      <c r="D7252">
        <v>17498.97</v>
      </c>
    </row>
    <row r="7253" spans="1:4" x14ac:dyDescent="0.25">
      <c r="A7253" t="s">
        <v>643</v>
      </c>
      <c r="B7253" t="s">
        <v>111</v>
      </c>
      <c r="C7253" s="2">
        <f>HYPERLINK("https://svao.dolgi.msk.ru/account/1760221337/", 1760221337)</f>
        <v>1760221337</v>
      </c>
      <c r="D7253">
        <v>3470.37</v>
      </c>
    </row>
    <row r="7254" spans="1:4" x14ac:dyDescent="0.25">
      <c r="A7254" t="s">
        <v>643</v>
      </c>
      <c r="B7254" t="s">
        <v>21</v>
      </c>
      <c r="C7254" s="2">
        <f>HYPERLINK("https://svao.dolgi.msk.ru/account/1760221388/", 1760221388)</f>
        <v>1760221388</v>
      </c>
      <c r="D7254">
        <v>2431.0300000000002</v>
      </c>
    </row>
    <row r="7255" spans="1:4" x14ac:dyDescent="0.25">
      <c r="A7255" t="s">
        <v>643</v>
      </c>
      <c r="B7255" t="s">
        <v>114</v>
      </c>
      <c r="C7255" s="2">
        <f>HYPERLINK("https://svao.dolgi.msk.ru/account/1760255414/", 1760255414)</f>
        <v>1760255414</v>
      </c>
      <c r="D7255">
        <v>34514.199999999997</v>
      </c>
    </row>
    <row r="7256" spans="1:4" x14ac:dyDescent="0.25">
      <c r="A7256" t="s">
        <v>643</v>
      </c>
      <c r="B7256" t="s">
        <v>22</v>
      </c>
      <c r="C7256" s="2">
        <f>HYPERLINK("https://svao.dolgi.msk.ru/account/1760221476/", 1760221476)</f>
        <v>1760221476</v>
      </c>
      <c r="D7256">
        <v>80118.05</v>
      </c>
    </row>
    <row r="7257" spans="1:4" x14ac:dyDescent="0.25">
      <c r="A7257" t="s">
        <v>643</v>
      </c>
      <c r="B7257" t="s">
        <v>22</v>
      </c>
      <c r="C7257" s="2">
        <f>HYPERLINK("https://svao.dolgi.msk.ru/account/1760221492/", 1760221492)</f>
        <v>1760221492</v>
      </c>
      <c r="D7257">
        <v>8089.84</v>
      </c>
    </row>
    <row r="7258" spans="1:4" x14ac:dyDescent="0.25">
      <c r="A7258" t="s">
        <v>643</v>
      </c>
      <c r="B7258" t="s">
        <v>79</v>
      </c>
      <c r="C7258" s="2">
        <f>HYPERLINK("https://svao.dolgi.msk.ru/account/1761792385/", 1761792385)</f>
        <v>1761792385</v>
      </c>
      <c r="D7258">
        <v>919.03</v>
      </c>
    </row>
    <row r="7259" spans="1:4" x14ac:dyDescent="0.25">
      <c r="A7259" t="s">
        <v>643</v>
      </c>
      <c r="B7259" t="s">
        <v>124</v>
      </c>
      <c r="C7259" s="2">
        <f>HYPERLINK("https://svao.dolgi.msk.ru/account/1760221572/", 1760221572)</f>
        <v>1760221572</v>
      </c>
      <c r="D7259">
        <v>6475.38</v>
      </c>
    </row>
    <row r="7260" spans="1:4" x14ac:dyDescent="0.25">
      <c r="A7260" t="s">
        <v>643</v>
      </c>
      <c r="B7260" t="s">
        <v>117</v>
      </c>
      <c r="C7260" s="2">
        <f>HYPERLINK("https://svao.dolgi.msk.ru/account/1760221599/", 1760221599)</f>
        <v>1760221599</v>
      </c>
      <c r="D7260">
        <v>3338.29</v>
      </c>
    </row>
    <row r="7261" spans="1:4" x14ac:dyDescent="0.25">
      <c r="A7261" t="s">
        <v>643</v>
      </c>
      <c r="B7261" t="s">
        <v>117</v>
      </c>
      <c r="C7261" s="2">
        <f>HYPERLINK("https://svao.dolgi.msk.ru/account/1760221628/", 1760221628)</f>
        <v>1760221628</v>
      </c>
      <c r="D7261">
        <v>5141.9799999999996</v>
      </c>
    </row>
    <row r="7262" spans="1:4" x14ac:dyDescent="0.25">
      <c r="A7262" t="s">
        <v>643</v>
      </c>
      <c r="B7262" t="s">
        <v>117</v>
      </c>
      <c r="C7262" s="2">
        <f>HYPERLINK("https://svao.dolgi.msk.ru/account/1760221636/", 1760221636)</f>
        <v>1760221636</v>
      </c>
      <c r="D7262">
        <v>1897.14</v>
      </c>
    </row>
    <row r="7263" spans="1:4" x14ac:dyDescent="0.25">
      <c r="A7263" t="s">
        <v>644</v>
      </c>
      <c r="B7263" t="s">
        <v>5</v>
      </c>
      <c r="C7263" s="2">
        <f>HYPERLINK("https://svao.dolgi.msk.ru/account/1760031357/", 1760031357)</f>
        <v>1760031357</v>
      </c>
      <c r="D7263">
        <v>5459.56</v>
      </c>
    </row>
    <row r="7264" spans="1:4" x14ac:dyDescent="0.25">
      <c r="A7264" t="s">
        <v>644</v>
      </c>
      <c r="B7264" t="s">
        <v>141</v>
      </c>
      <c r="C7264" s="2">
        <f>HYPERLINK("https://svao.dolgi.msk.ru/account/1760031381/", 1760031381)</f>
        <v>1760031381</v>
      </c>
      <c r="D7264">
        <v>5598.09</v>
      </c>
    </row>
    <row r="7265" spans="1:4" x14ac:dyDescent="0.25">
      <c r="A7265" t="s">
        <v>644</v>
      </c>
      <c r="B7265" t="s">
        <v>73</v>
      </c>
      <c r="C7265" s="2">
        <f>HYPERLINK("https://svao.dolgi.msk.ru/account/1760031437/", 1760031437)</f>
        <v>1760031437</v>
      </c>
      <c r="D7265">
        <v>4677.37</v>
      </c>
    </row>
    <row r="7266" spans="1:4" x14ac:dyDescent="0.25">
      <c r="A7266" t="s">
        <v>644</v>
      </c>
      <c r="B7266" t="s">
        <v>104</v>
      </c>
      <c r="C7266" s="2">
        <f>HYPERLINK("https://svao.dolgi.msk.ru/account/1760031445/", 1760031445)</f>
        <v>1760031445</v>
      </c>
      <c r="D7266">
        <v>6341.83</v>
      </c>
    </row>
    <row r="7267" spans="1:4" x14ac:dyDescent="0.25">
      <c r="A7267" t="s">
        <v>644</v>
      </c>
      <c r="B7267" t="s">
        <v>8</v>
      </c>
      <c r="C7267" s="2">
        <f>HYPERLINK("https://svao.dolgi.msk.ru/account/1760031453/", 1760031453)</f>
        <v>1760031453</v>
      </c>
      <c r="D7267">
        <v>13358.18</v>
      </c>
    </row>
    <row r="7268" spans="1:4" x14ac:dyDescent="0.25">
      <c r="A7268" t="s">
        <v>644</v>
      </c>
      <c r="B7268" t="s">
        <v>137</v>
      </c>
      <c r="C7268" s="2">
        <f>HYPERLINK("https://svao.dolgi.msk.ru/account/1760031488/", 1760031488)</f>
        <v>1760031488</v>
      </c>
      <c r="D7268">
        <v>3219.11</v>
      </c>
    </row>
    <row r="7269" spans="1:4" x14ac:dyDescent="0.25">
      <c r="A7269" t="s">
        <v>644</v>
      </c>
      <c r="B7269" t="s">
        <v>9</v>
      </c>
      <c r="C7269" s="2">
        <f>HYPERLINK("https://svao.dolgi.msk.ru/account/1760031496/", 1760031496)</f>
        <v>1760031496</v>
      </c>
      <c r="D7269">
        <v>37486.660000000003</v>
      </c>
    </row>
    <row r="7270" spans="1:4" x14ac:dyDescent="0.25">
      <c r="A7270" t="s">
        <v>644</v>
      </c>
      <c r="B7270" t="s">
        <v>75</v>
      </c>
      <c r="C7270" s="2">
        <f>HYPERLINK("https://svao.dolgi.msk.ru/account/1760031509/", 1760031509)</f>
        <v>1760031509</v>
      </c>
      <c r="D7270">
        <v>9706.59</v>
      </c>
    </row>
    <row r="7271" spans="1:4" x14ac:dyDescent="0.25">
      <c r="A7271" t="s">
        <v>644</v>
      </c>
      <c r="B7271" t="s">
        <v>14</v>
      </c>
      <c r="C7271" s="2">
        <f>HYPERLINK("https://svao.dolgi.msk.ru/account/1760031584/", 1760031584)</f>
        <v>1760031584</v>
      </c>
      <c r="D7271">
        <v>64742.400000000001</v>
      </c>
    </row>
    <row r="7272" spans="1:4" x14ac:dyDescent="0.25">
      <c r="A7272" t="s">
        <v>644</v>
      </c>
      <c r="B7272" t="s">
        <v>107</v>
      </c>
      <c r="C7272" s="2">
        <f>HYPERLINK("https://svao.dolgi.msk.ru/account/1760031605/", 1760031605)</f>
        <v>1760031605</v>
      </c>
      <c r="D7272">
        <v>6341.51</v>
      </c>
    </row>
    <row r="7273" spans="1:4" x14ac:dyDescent="0.25">
      <c r="A7273" t="s">
        <v>644</v>
      </c>
      <c r="B7273" t="s">
        <v>92</v>
      </c>
      <c r="C7273" s="2">
        <f>HYPERLINK("https://svao.dolgi.msk.ru/account/1760031744/", 1760031744)</f>
        <v>1760031744</v>
      </c>
      <c r="D7273">
        <v>11600.53</v>
      </c>
    </row>
    <row r="7274" spans="1:4" x14ac:dyDescent="0.25">
      <c r="A7274" t="s">
        <v>644</v>
      </c>
      <c r="B7274" t="s">
        <v>111</v>
      </c>
      <c r="C7274" s="2">
        <f>HYPERLINK("https://svao.dolgi.msk.ru/account/1760031779/", 1760031779)</f>
        <v>1760031779</v>
      </c>
      <c r="D7274">
        <v>8961.75</v>
      </c>
    </row>
    <row r="7275" spans="1:4" x14ac:dyDescent="0.25">
      <c r="A7275" t="s">
        <v>644</v>
      </c>
      <c r="B7275" t="s">
        <v>113</v>
      </c>
      <c r="C7275" s="2">
        <f>HYPERLINK("https://svao.dolgi.msk.ru/account/1760031808/", 1760031808)</f>
        <v>1760031808</v>
      </c>
      <c r="D7275">
        <v>4711.01</v>
      </c>
    </row>
    <row r="7276" spans="1:4" x14ac:dyDescent="0.25">
      <c r="A7276" t="s">
        <v>644</v>
      </c>
      <c r="B7276" t="s">
        <v>21</v>
      </c>
      <c r="C7276" s="2">
        <f>HYPERLINK("https://svao.dolgi.msk.ru/account/1760031816/", 1760031816)</f>
        <v>1760031816</v>
      </c>
      <c r="D7276">
        <v>3643.03</v>
      </c>
    </row>
    <row r="7277" spans="1:4" x14ac:dyDescent="0.25">
      <c r="A7277" t="s">
        <v>644</v>
      </c>
      <c r="B7277" t="s">
        <v>114</v>
      </c>
      <c r="C7277" s="2">
        <f>HYPERLINK("https://svao.dolgi.msk.ru/account/1760031832/", 1760031832)</f>
        <v>1760031832</v>
      </c>
      <c r="D7277">
        <v>5376.61</v>
      </c>
    </row>
    <row r="7278" spans="1:4" x14ac:dyDescent="0.25">
      <c r="A7278" t="s">
        <v>644</v>
      </c>
      <c r="B7278" t="s">
        <v>78</v>
      </c>
      <c r="C7278" s="2">
        <f>HYPERLINK("https://svao.dolgi.msk.ru/account/1760031859/", 1760031859)</f>
        <v>1760031859</v>
      </c>
      <c r="D7278">
        <v>4690.37</v>
      </c>
    </row>
    <row r="7279" spans="1:4" x14ac:dyDescent="0.25">
      <c r="A7279" t="s">
        <v>644</v>
      </c>
      <c r="B7279" t="s">
        <v>117</v>
      </c>
      <c r="C7279" s="2">
        <f>HYPERLINK("https://svao.dolgi.msk.ru/account/1760031904/", 1760031904)</f>
        <v>1760031904</v>
      </c>
      <c r="D7279">
        <v>5151.4799999999996</v>
      </c>
    </row>
    <row r="7280" spans="1:4" x14ac:dyDescent="0.25">
      <c r="A7280" t="s">
        <v>644</v>
      </c>
      <c r="B7280" t="s">
        <v>314</v>
      </c>
      <c r="C7280" s="2">
        <f>HYPERLINK("https://svao.dolgi.msk.ru/account/1760031955/", 1760031955)</f>
        <v>1760031955</v>
      </c>
      <c r="D7280">
        <v>3654.21</v>
      </c>
    </row>
    <row r="7281" spans="1:4" x14ac:dyDescent="0.25">
      <c r="A7281" t="s">
        <v>644</v>
      </c>
      <c r="B7281" t="s">
        <v>126</v>
      </c>
      <c r="C7281" s="2">
        <f>HYPERLINK("https://svao.dolgi.msk.ru/account/1760032026/", 1760032026)</f>
        <v>1760032026</v>
      </c>
      <c r="D7281">
        <v>7175.92</v>
      </c>
    </row>
    <row r="7282" spans="1:4" x14ac:dyDescent="0.25">
      <c r="A7282" t="s">
        <v>644</v>
      </c>
      <c r="B7282" t="s">
        <v>126</v>
      </c>
      <c r="C7282" s="2">
        <f>HYPERLINK("https://svao.dolgi.msk.ru/account/1761793257/", 1761793257)</f>
        <v>1761793257</v>
      </c>
      <c r="D7282">
        <v>553.28</v>
      </c>
    </row>
    <row r="7283" spans="1:4" x14ac:dyDescent="0.25">
      <c r="A7283" t="s">
        <v>644</v>
      </c>
      <c r="B7283" t="s">
        <v>127</v>
      </c>
      <c r="C7283" s="2">
        <f>HYPERLINK("https://svao.dolgi.msk.ru/account/1760032069/", 1760032069)</f>
        <v>1760032069</v>
      </c>
      <c r="D7283">
        <v>306615.87</v>
      </c>
    </row>
    <row r="7284" spans="1:4" x14ac:dyDescent="0.25">
      <c r="A7284" t="s">
        <v>644</v>
      </c>
      <c r="B7284" t="s">
        <v>81</v>
      </c>
      <c r="C7284" s="2">
        <f>HYPERLINK("https://svao.dolgi.msk.ru/account/1760032077/", 1760032077)</f>
        <v>1760032077</v>
      </c>
      <c r="D7284">
        <v>97649.23</v>
      </c>
    </row>
    <row r="7285" spans="1:4" x14ac:dyDescent="0.25">
      <c r="A7285" t="s">
        <v>644</v>
      </c>
      <c r="B7285" t="s">
        <v>119</v>
      </c>
      <c r="C7285" s="2">
        <f>HYPERLINK("https://svao.dolgi.msk.ru/account/1760032085/", 1760032085)</f>
        <v>1760032085</v>
      </c>
      <c r="D7285">
        <v>16111.56</v>
      </c>
    </row>
    <row r="7286" spans="1:4" x14ac:dyDescent="0.25">
      <c r="A7286" t="s">
        <v>644</v>
      </c>
      <c r="B7286" t="s">
        <v>82</v>
      </c>
      <c r="C7286" s="2">
        <f>HYPERLINK("https://svao.dolgi.msk.ru/account/1760032106/", 1760032106)</f>
        <v>1760032106</v>
      </c>
      <c r="D7286">
        <v>16194.08</v>
      </c>
    </row>
    <row r="7287" spans="1:4" x14ac:dyDescent="0.25">
      <c r="A7287" t="s">
        <v>644</v>
      </c>
      <c r="B7287" t="s">
        <v>83</v>
      </c>
      <c r="C7287" s="2">
        <f>HYPERLINK("https://svao.dolgi.msk.ru/account/1760032149/", 1760032149)</f>
        <v>1760032149</v>
      </c>
      <c r="D7287">
        <v>2956.11</v>
      </c>
    </row>
    <row r="7288" spans="1:4" x14ac:dyDescent="0.25">
      <c r="A7288" t="s">
        <v>644</v>
      </c>
      <c r="B7288" t="s">
        <v>26</v>
      </c>
      <c r="C7288" s="2">
        <f>HYPERLINK("https://svao.dolgi.msk.ru/account/1760032165/", 1760032165)</f>
        <v>1760032165</v>
      </c>
      <c r="D7288">
        <v>5571.89</v>
      </c>
    </row>
    <row r="7289" spans="1:4" x14ac:dyDescent="0.25">
      <c r="A7289" t="s">
        <v>644</v>
      </c>
      <c r="B7289" t="s">
        <v>133</v>
      </c>
      <c r="C7289" s="2">
        <f>HYPERLINK("https://svao.dolgi.msk.ru/account/1760032173/", 1760032173)</f>
        <v>1760032173</v>
      </c>
      <c r="D7289">
        <v>6980.79</v>
      </c>
    </row>
    <row r="7290" spans="1:4" x14ac:dyDescent="0.25">
      <c r="A7290" t="s">
        <v>644</v>
      </c>
      <c r="B7290" t="s">
        <v>290</v>
      </c>
      <c r="C7290" s="2">
        <f>HYPERLINK("https://svao.dolgi.msk.ru/account/1760032229/", 1760032229)</f>
        <v>1760032229</v>
      </c>
      <c r="D7290">
        <v>7146.73</v>
      </c>
    </row>
    <row r="7291" spans="1:4" x14ac:dyDescent="0.25">
      <c r="A7291" t="s">
        <v>644</v>
      </c>
      <c r="B7291" t="s">
        <v>121</v>
      </c>
      <c r="C7291" s="2">
        <f>HYPERLINK("https://svao.dolgi.msk.ru/account/1760032245/", 1760032245)</f>
        <v>1760032245</v>
      </c>
      <c r="D7291">
        <v>1680.99</v>
      </c>
    </row>
    <row r="7292" spans="1:4" x14ac:dyDescent="0.25">
      <c r="A7292" t="s">
        <v>644</v>
      </c>
      <c r="B7292" t="s">
        <v>134</v>
      </c>
      <c r="C7292" s="2">
        <f>HYPERLINK("https://svao.dolgi.msk.ru/account/1760032253/", 1760032253)</f>
        <v>1760032253</v>
      </c>
      <c r="D7292">
        <v>2258.06</v>
      </c>
    </row>
    <row r="7293" spans="1:4" x14ac:dyDescent="0.25">
      <c r="A7293" t="s">
        <v>644</v>
      </c>
      <c r="B7293" t="s">
        <v>139</v>
      </c>
      <c r="C7293" s="2">
        <f>HYPERLINK("https://svao.dolgi.msk.ru/account/1760032261/", 1760032261)</f>
        <v>1760032261</v>
      </c>
      <c r="D7293">
        <v>4432.25</v>
      </c>
    </row>
    <row r="7294" spans="1:4" x14ac:dyDescent="0.25">
      <c r="A7294" t="s">
        <v>644</v>
      </c>
      <c r="B7294" t="s">
        <v>30</v>
      </c>
      <c r="C7294" s="2">
        <f>HYPERLINK("https://svao.dolgi.msk.ru/account/1760032325/", 1760032325)</f>
        <v>1760032325</v>
      </c>
      <c r="D7294">
        <v>6682.07</v>
      </c>
    </row>
    <row r="7295" spans="1:4" x14ac:dyDescent="0.25">
      <c r="A7295" t="s">
        <v>645</v>
      </c>
      <c r="B7295" t="s">
        <v>7</v>
      </c>
      <c r="C7295" s="2">
        <f>HYPERLINK("https://svao.dolgi.msk.ru/account/1760221716/", 1760221716)</f>
        <v>1760221716</v>
      </c>
      <c r="D7295">
        <v>5463.5</v>
      </c>
    </row>
    <row r="7296" spans="1:4" x14ac:dyDescent="0.25">
      <c r="A7296" t="s">
        <v>645</v>
      </c>
      <c r="B7296" t="s">
        <v>102</v>
      </c>
      <c r="C7296" s="2">
        <f>HYPERLINK("https://svao.dolgi.msk.ru/account/1760221759/", 1760221759)</f>
        <v>1760221759</v>
      </c>
      <c r="D7296">
        <v>446576.83</v>
      </c>
    </row>
    <row r="7297" spans="1:4" x14ac:dyDescent="0.25">
      <c r="A7297" t="s">
        <v>645</v>
      </c>
      <c r="B7297" t="s">
        <v>8</v>
      </c>
      <c r="C7297" s="2">
        <f>HYPERLINK("https://svao.dolgi.msk.ru/account/1760221791/", 1760221791)</f>
        <v>1760221791</v>
      </c>
      <c r="D7297">
        <v>3840.81</v>
      </c>
    </row>
    <row r="7298" spans="1:4" x14ac:dyDescent="0.25">
      <c r="A7298" t="s">
        <v>645</v>
      </c>
      <c r="B7298" t="s">
        <v>9</v>
      </c>
      <c r="C7298" s="2">
        <f>HYPERLINK("https://svao.dolgi.msk.ru/account/1760221839/", 1760221839)</f>
        <v>1760221839</v>
      </c>
      <c r="D7298">
        <v>29617.61</v>
      </c>
    </row>
    <row r="7299" spans="1:4" x14ac:dyDescent="0.25">
      <c r="A7299" t="s">
        <v>645</v>
      </c>
      <c r="B7299" t="s">
        <v>11</v>
      </c>
      <c r="C7299" s="2">
        <f>HYPERLINK("https://svao.dolgi.msk.ru/account/1760221898/", 1760221898)</f>
        <v>1760221898</v>
      </c>
      <c r="D7299">
        <v>11644.26</v>
      </c>
    </row>
    <row r="7300" spans="1:4" x14ac:dyDescent="0.25">
      <c r="A7300" t="s">
        <v>645</v>
      </c>
      <c r="B7300" t="s">
        <v>14</v>
      </c>
      <c r="C7300" s="2">
        <f>HYPERLINK("https://svao.dolgi.msk.ru/account/1760221935/", 1760221935)</f>
        <v>1760221935</v>
      </c>
      <c r="D7300">
        <v>3633.65</v>
      </c>
    </row>
    <row r="7301" spans="1:4" x14ac:dyDescent="0.25">
      <c r="A7301" t="s">
        <v>645</v>
      </c>
      <c r="B7301" t="s">
        <v>108</v>
      </c>
      <c r="C7301" s="2">
        <f>HYPERLINK("https://svao.dolgi.msk.ru/account/1760221986/", 1760221986)</f>
        <v>1760221986</v>
      </c>
      <c r="D7301">
        <v>396.6</v>
      </c>
    </row>
    <row r="7302" spans="1:4" x14ac:dyDescent="0.25">
      <c r="A7302" t="s">
        <v>645</v>
      </c>
      <c r="B7302" t="s">
        <v>18</v>
      </c>
      <c r="C7302" s="2">
        <f>HYPERLINK("https://svao.dolgi.msk.ru/account/1760222014/", 1760222014)</f>
        <v>1760222014</v>
      </c>
      <c r="D7302">
        <v>2336.21</v>
      </c>
    </row>
    <row r="7303" spans="1:4" x14ac:dyDescent="0.25">
      <c r="A7303" t="s">
        <v>645</v>
      </c>
      <c r="B7303" t="s">
        <v>19</v>
      </c>
      <c r="C7303" s="2">
        <f>HYPERLINK("https://svao.dolgi.msk.ru/account/1760222022/", 1760222022)</f>
        <v>1760222022</v>
      </c>
      <c r="D7303">
        <v>303.88</v>
      </c>
    </row>
    <row r="7304" spans="1:4" x14ac:dyDescent="0.25">
      <c r="A7304" t="s">
        <v>645</v>
      </c>
      <c r="B7304" t="s">
        <v>109</v>
      </c>
      <c r="C7304" s="2">
        <f>HYPERLINK("https://svao.dolgi.msk.ru/account/1760222049/", 1760222049)</f>
        <v>1760222049</v>
      </c>
      <c r="D7304">
        <v>3901.6</v>
      </c>
    </row>
    <row r="7305" spans="1:4" x14ac:dyDescent="0.25">
      <c r="A7305" t="s">
        <v>646</v>
      </c>
      <c r="B7305" t="s">
        <v>6</v>
      </c>
      <c r="C7305" s="2">
        <f>HYPERLINK("https://svao.dolgi.msk.ru/account/1760222065/", 1760222065)</f>
        <v>1760222065</v>
      </c>
      <c r="D7305">
        <v>1576.05</v>
      </c>
    </row>
    <row r="7306" spans="1:4" x14ac:dyDescent="0.25">
      <c r="A7306" t="s">
        <v>646</v>
      </c>
      <c r="B7306" t="s">
        <v>5</v>
      </c>
      <c r="C7306" s="2">
        <f>HYPERLINK("https://svao.dolgi.msk.ru/account/1760222081/", 1760222081)</f>
        <v>1760222081</v>
      </c>
      <c r="D7306">
        <v>13624.39</v>
      </c>
    </row>
    <row r="7307" spans="1:4" x14ac:dyDescent="0.25">
      <c r="A7307" t="s">
        <v>646</v>
      </c>
      <c r="B7307" t="s">
        <v>7</v>
      </c>
      <c r="C7307" s="2">
        <f>HYPERLINK("https://svao.dolgi.msk.ru/account/1760222102/", 1760222102)</f>
        <v>1760222102</v>
      </c>
      <c r="D7307">
        <v>6883.17</v>
      </c>
    </row>
    <row r="7308" spans="1:4" x14ac:dyDescent="0.25">
      <c r="A7308" t="s">
        <v>646</v>
      </c>
      <c r="B7308" t="s">
        <v>73</v>
      </c>
      <c r="C7308" s="2">
        <f>HYPERLINK("https://svao.dolgi.msk.ru/account/1760222161/", 1760222161)</f>
        <v>1760222161</v>
      </c>
      <c r="D7308">
        <v>4151.51</v>
      </c>
    </row>
    <row r="7309" spans="1:4" x14ac:dyDescent="0.25">
      <c r="A7309" t="s">
        <v>646</v>
      </c>
      <c r="B7309" t="s">
        <v>74</v>
      </c>
      <c r="C7309" s="2">
        <f>HYPERLINK("https://svao.dolgi.msk.ru/account/1760222209/", 1760222209)</f>
        <v>1760222209</v>
      </c>
      <c r="D7309">
        <v>7389.3</v>
      </c>
    </row>
    <row r="7310" spans="1:4" x14ac:dyDescent="0.25">
      <c r="A7310" t="s">
        <v>646</v>
      </c>
      <c r="B7310" t="s">
        <v>9</v>
      </c>
      <c r="C7310" s="2">
        <f>HYPERLINK("https://svao.dolgi.msk.ru/account/1760222225/", 1760222225)</f>
        <v>1760222225</v>
      </c>
      <c r="D7310">
        <v>6527.36</v>
      </c>
    </row>
    <row r="7311" spans="1:4" x14ac:dyDescent="0.25">
      <c r="A7311" t="s">
        <v>646</v>
      </c>
      <c r="B7311" t="s">
        <v>16</v>
      </c>
      <c r="C7311" s="2">
        <f>HYPERLINK("https://svao.dolgi.msk.ru/account/1760222372/", 1760222372)</f>
        <v>1760222372</v>
      </c>
      <c r="D7311">
        <v>3910.05</v>
      </c>
    </row>
    <row r="7312" spans="1:4" x14ac:dyDescent="0.25">
      <c r="A7312" t="s">
        <v>646</v>
      </c>
      <c r="B7312" t="s">
        <v>17</v>
      </c>
      <c r="C7312" s="2">
        <f>HYPERLINK("https://svao.dolgi.msk.ru/account/1760222399/", 1760222399)</f>
        <v>1760222399</v>
      </c>
      <c r="D7312">
        <v>5005.42</v>
      </c>
    </row>
    <row r="7313" spans="1:4" x14ac:dyDescent="0.25">
      <c r="A7313" t="s">
        <v>646</v>
      </c>
      <c r="B7313" t="s">
        <v>18</v>
      </c>
      <c r="C7313" s="2">
        <f>HYPERLINK("https://svao.dolgi.msk.ru/account/1760222401/", 1760222401)</f>
        <v>1760222401</v>
      </c>
      <c r="D7313">
        <v>8729.17</v>
      </c>
    </row>
    <row r="7314" spans="1:4" x14ac:dyDescent="0.25">
      <c r="A7314" t="s">
        <v>646</v>
      </c>
      <c r="B7314" t="s">
        <v>109</v>
      </c>
      <c r="C7314" s="2">
        <f>HYPERLINK("https://svao.dolgi.msk.ru/account/1760222436/", 1760222436)</f>
        <v>1760222436</v>
      </c>
      <c r="D7314">
        <v>12981.69</v>
      </c>
    </row>
    <row r="7315" spans="1:4" x14ac:dyDescent="0.25">
      <c r="A7315" t="s">
        <v>646</v>
      </c>
      <c r="B7315" t="s">
        <v>92</v>
      </c>
      <c r="C7315" s="2">
        <f>HYPERLINK("https://svao.dolgi.msk.ru/account/1760222487/", 1760222487)</f>
        <v>1760222487</v>
      </c>
      <c r="D7315">
        <v>3786.97</v>
      </c>
    </row>
    <row r="7316" spans="1:4" x14ac:dyDescent="0.25">
      <c r="A7316" t="s">
        <v>646</v>
      </c>
      <c r="B7316" t="s">
        <v>93</v>
      </c>
      <c r="C7316" s="2">
        <f>HYPERLINK("https://svao.dolgi.msk.ru/account/1760222495/", 1760222495)</f>
        <v>1760222495</v>
      </c>
      <c r="D7316">
        <v>44388.4</v>
      </c>
    </row>
    <row r="7317" spans="1:4" x14ac:dyDescent="0.25">
      <c r="A7317" t="s">
        <v>646</v>
      </c>
      <c r="B7317" t="s">
        <v>111</v>
      </c>
      <c r="C7317" s="2">
        <f>HYPERLINK("https://svao.dolgi.msk.ru/account/1760222508/", 1760222508)</f>
        <v>1760222508</v>
      </c>
      <c r="D7317">
        <v>1958.13</v>
      </c>
    </row>
    <row r="7318" spans="1:4" x14ac:dyDescent="0.25">
      <c r="A7318" t="s">
        <v>646</v>
      </c>
      <c r="B7318" t="s">
        <v>21</v>
      </c>
      <c r="C7318" s="2">
        <f>HYPERLINK("https://svao.dolgi.msk.ru/account/1760222559/", 1760222559)</f>
        <v>1760222559</v>
      </c>
      <c r="D7318">
        <v>5682.4</v>
      </c>
    </row>
    <row r="7319" spans="1:4" x14ac:dyDescent="0.25">
      <c r="A7319" t="s">
        <v>646</v>
      </c>
      <c r="B7319" t="s">
        <v>77</v>
      </c>
      <c r="C7319" s="2">
        <f>HYPERLINK("https://svao.dolgi.msk.ru/account/1760222567/", 1760222567)</f>
        <v>1760222567</v>
      </c>
      <c r="D7319">
        <v>2478.14</v>
      </c>
    </row>
    <row r="7320" spans="1:4" x14ac:dyDescent="0.25">
      <c r="A7320" t="s">
        <v>646</v>
      </c>
      <c r="B7320" t="s">
        <v>22</v>
      </c>
      <c r="C7320" s="2">
        <f>HYPERLINK("https://svao.dolgi.msk.ru/account/1760222591/", 1760222591)</f>
        <v>1760222591</v>
      </c>
      <c r="D7320">
        <v>5172.78</v>
      </c>
    </row>
    <row r="7321" spans="1:4" x14ac:dyDescent="0.25">
      <c r="A7321" t="s">
        <v>646</v>
      </c>
      <c r="B7321" t="s">
        <v>23</v>
      </c>
      <c r="C7321" s="2">
        <f>HYPERLINK("https://svao.dolgi.msk.ru/account/1760222612/", 1760222612)</f>
        <v>1760222612</v>
      </c>
      <c r="D7321">
        <v>4148.54</v>
      </c>
    </row>
    <row r="7322" spans="1:4" x14ac:dyDescent="0.25">
      <c r="A7322" t="s">
        <v>646</v>
      </c>
      <c r="B7322" t="s">
        <v>314</v>
      </c>
      <c r="C7322" s="2">
        <f>HYPERLINK("https://svao.dolgi.msk.ru/account/1760222698/", 1760222698)</f>
        <v>1760222698</v>
      </c>
      <c r="D7322">
        <v>62835.15</v>
      </c>
    </row>
    <row r="7323" spans="1:4" x14ac:dyDescent="0.25">
      <c r="A7323" t="s">
        <v>647</v>
      </c>
      <c r="B7323" t="s">
        <v>102</v>
      </c>
      <c r="C7323" s="2">
        <f>HYPERLINK("https://svao.dolgi.msk.ru/account/1768023028/", 1768023028)</f>
        <v>1768023028</v>
      </c>
      <c r="D7323">
        <v>5342.94</v>
      </c>
    </row>
    <row r="7324" spans="1:4" x14ac:dyDescent="0.25">
      <c r="A7324" t="s">
        <v>647</v>
      </c>
      <c r="B7324" t="s">
        <v>103</v>
      </c>
      <c r="C7324" s="2">
        <f>HYPERLINK("https://svao.dolgi.msk.ru/account/1768023036/", 1768023036)</f>
        <v>1768023036</v>
      </c>
      <c r="D7324">
        <v>54091.73</v>
      </c>
    </row>
    <row r="7325" spans="1:4" x14ac:dyDescent="0.25">
      <c r="A7325" t="s">
        <v>647</v>
      </c>
      <c r="B7325" t="s">
        <v>73</v>
      </c>
      <c r="C7325" s="2">
        <f>HYPERLINK("https://svao.dolgi.msk.ru/account/1768023044/", 1768023044)</f>
        <v>1768023044</v>
      </c>
      <c r="D7325">
        <v>4201.82</v>
      </c>
    </row>
    <row r="7326" spans="1:4" x14ac:dyDescent="0.25">
      <c r="A7326" t="s">
        <v>647</v>
      </c>
      <c r="B7326" t="s">
        <v>91</v>
      </c>
      <c r="C7326" s="2">
        <f>HYPERLINK("https://svao.dolgi.msk.ru/account/1768006535/", 1768006535)</f>
        <v>1768006535</v>
      </c>
      <c r="D7326">
        <v>12148.29</v>
      </c>
    </row>
    <row r="7327" spans="1:4" x14ac:dyDescent="0.25">
      <c r="A7327" t="s">
        <v>647</v>
      </c>
      <c r="B7327" t="s">
        <v>10</v>
      </c>
      <c r="C7327" s="2">
        <f>HYPERLINK("https://svao.dolgi.msk.ru/account/1768006631/", 1768006631)</f>
        <v>1768006631</v>
      </c>
      <c r="D7327">
        <v>2625.58</v>
      </c>
    </row>
    <row r="7328" spans="1:4" x14ac:dyDescent="0.25">
      <c r="A7328" t="s">
        <v>647</v>
      </c>
      <c r="B7328" t="s">
        <v>11</v>
      </c>
      <c r="C7328" s="2">
        <f>HYPERLINK("https://svao.dolgi.msk.ru/account/1768023108/", 1768023108)</f>
        <v>1768023108</v>
      </c>
      <c r="D7328">
        <v>4301.22</v>
      </c>
    </row>
    <row r="7329" spans="1:4" x14ac:dyDescent="0.25">
      <c r="A7329" t="s">
        <v>647</v>
      </c>
      <c r="B7329" t="s">
        <v>14</v>
      </c>
      <c r="C7329" s="2">
        <f>HYPERLINK("https://svao.dolgi.msk.ru/account/1768023124/", 1768023124)</f>
        <v>1768023124</v>
      </c>
      <c r="D7329">
        <v>4578.1000000000004</v>
      </c>
    </row>
    <row r="7330" spans="1:4" x14ac:dyDescent="0.25">
      <c r="A7330" t="s">
        <v>647</v>
      </c>
      <c r="B7330" t="s">
        <v>106</v>
      </c>
      <c r="C7330" s="2">
        <f>HYPERLINK("https://svao.dolgi.msk.ru/account/1768023132/", 1768023132)</f>
        <v>1768023132</v>
      </c>
      <c r="D7330">
        <v>20381.599999999999</v>
      </c>
    </row>
    <row r="7331" spans="1:4" x14ac:dyDescent="0.25">
      <c r="A7331" t="s">
        <v>647</v>
      </c>
      <c r="B7331" t="s">
        <v>107</v>
      </c>
      <c r="C7331" s="2">
        <f>HYPERLINK("https://svao.dolgi.msk.ru/account/1768006519/", 1768006519)</f>
        <v>1768006519</v>
      </c>
      <c r="D7331">
        <v>9047.7900000000009</v>
      </c>
    </row>
    <row r="7332" spans="1:4" x14ac:dyDescent="0.25">
      <c r="A7332" t="s">
        <v>647</v>
      </c>
      <c r="B7332" t="s">
        <v>15</v>
      </c>
      <c r="C7332" s="2">
        <f>HYPERLINK("https://svao.dolgi.msk.ru/account/1768006412/", 1768006412)</f>
        <v>1768006412</v>
      </c>
      <c r="D7332">
        <v>3409.59</v>
      </c>
    </row>
    <row r="7333" spans="1:4" x14ac:dyDescent="0.25">
      <c r="A7333" t="s">
        <v>647</v>
      </c>
      <c r="B7333" t="s">
        <v>16</v>
      </c>
      <c r="C7333" s="2">
        <f>HYPERLINK("https://svao.dolgi.msk.ru/account/1768023167/", 1768023167)</f>
        <v>1768023167</v>
      </c>
      <c r="D7333">
        <v>1414.29</v>
      </c>
    </row>
    <row r="7334" spans="1:4" x14ac:dyDescent="0.25">
      <c r="A7334" t="s">
        <v>647</v>
      </c>
      <c r="B7334" t="s">
        <v>18</v>
      </c>
      <c r="C7334" s="2">
        <f>HYPERLINK("https://svao.dolgi.msk.ru/account/1768006674/", 1768006674)</f>
        <v>1768006674</v>
      </c>
      <c r="D7334">
        <v>6287.61</v>
      </c>
    </row>
    <row r="7335" spans="1:4" x14ac:dyDescent="0.25">
      <c r="A7335" t="s">
        <v>647</v>
      </c>
      <c r="B7335" t="s">
        <v>19</v>
      </c>
      <c r="C7335" s="2">
        <f>HYPERLINK("https://svao.dolgi.msk.ru/account/1768023183/", 1768023183)</f>
        <v>1768023183</v>
      </c>
      <c r="D7335">
        <v>4260.57</v>
      </c>
    </row>
    <row r="7336" spans="1:4" x14ac:dyDescent="0.25">
      <c r="A7336" t="s">
        <v>647</v>
      </c>
      <c r="B7336" t="s">
        <v>109</v>
      </c>
      <c r="C7336" s="2">
        <f>HYPERLINK("https://svao.dolgi.msk.ru/account/1768023191/", 1768023191)</f>
        <v>1768023191</v>
      </c>
      <c r="D7336">
        <v>4622.09</v>
      </c>
    </row>
    <row r="7337" spans="1:4" x14ac:dyDescent="0.25">
      <c r="A7337" t="s">
        <v>647</v>
      </c>
      <c r="B7337" t="s">
        <v>94</v>
      </c>
      <c r="C7337" s="2">
        <f>HYPERLINK("https://svao.dolgi.msk.ru/account/1768023255/", 1768023255)</f>
        <v>1768023255</v>
      </c>
      <c r="D7337">
        <v>10234.629999999999</v>
      </c>
    </row>
    <row r="7338" spans="1:4" x14ac:dyDescent="0.25">
      <c r="A7338" t="s">
        <v>647</v>
      </c>
      <c r="B7338" t="s">
        <v>113</v>
      </c>
      <c r="C7338" s="2">
        <f>HYPERLINK("https://svao.dolgi.msk.ru/account/1768023271/", 1768023271)</f>
        <v>1768023271</v>
      </c>
      <c r="D7338">
        <v>6099.36</v>
      </c>
    </row>
    <row r="7339" spans="1:4" x14ac:dyDescent="0.25">
      <c r="A7339" t="s">
        <v>647</v>
      </c>
      <c r="B7339" t="s">
        <v>114</v>
      </c>
      <c r="C7339" s="2">
        <f>HYPERLINK("https://svao.dolgi.msk.ru/account/1768023327/", 1768023327)</f>
        <v>1768023327</v>
      </c>
      <c r="D7339">
        <v>261.13</v>
      </c>
    </row>
    <row r="7340" spans="1:4" x14ac:dyDescent="0.25">
      <c r="A7340" t="s">
        <v>647</v>
      </c>
      <c r="B7340" t="s">
        <v>78</v>
      </c>
      <c r="C7340" s="2">
        <f>HYPERLINK("https://svao.dolgi.msk.ru/account/1768006543/", 1768006543)</f>
        <v>1768006543</v>
      </c>
      <c r="D7340">
        <v>9521.2999999999993</v>
      </c>
    </row>
    <row r="7341" spans="1:4" x14ac:dyDescent="0.25">
      <c r="A7341" t="s">
        <v>647</v>
      </c>
      <c r="B7341" t="s">
        <v>124</v>
      </c>
      <c r="C7341" s="2">
        <f>HYPERLINK("https://svao.dolgi.msk.ru/account/1768023351/", 1768023351)</f>
        <v>1768023351</v>
      </c>
      <c r="D7341">
        <v>1755.69</v>
      </c>
    </row>
    <row r="7342" spans="1:4" x14ac:dyDescent="0.25">
      <c r="A7342" t="s">
        <v>647</v>
      </c>
      <c r="B7342" t="s">
        <v>320</v>
      </c>
      <c r="C7342" s="2">
        <f>HYPERLINK("https://svao.dolgi.msk.ru/account/1768023378/", 1768023378)</f>
        <v>1768023378</v>
      </c>
      <c r="D7342">
        <v>54221.74</v>
      </c>
    </row>
    <row r="7343" spans="1:4" x14ac:dyDescent="0.25">
      <c r="A7343" t="s">
        <v>647</v>
      </c>
      <c r="B7343" t="s">
        <v>314</v>
      </c>
      <c r="C7343" s="2">
        <f>HYPERLINK("https://svao.dolgi.msk.ru/account/1768023394/", 1768023394)</f>
        <v>1768023394</v>
      </c>
      <c r="D7343">
        <v>116.83</v>
      </c>
    </row>
    <row r="7344" spans="1:4" x14ac:dyDescent="0.25">
      <c r="A7344" t="s">
        <v>647</v>
      </c>
      <c r="B7344" t="s">
        <v>242</v>
      </c>
      <c r="C7344" s="2">
        <f>HYPERLINK("https://svao.dolgi.msk.ru/account/1768023407/", 1768023407)</f>
        <v>1768023407</v>
      </c>
      <c r="D7344">
        <v>4881.22</v>
      </c>
    </row>
    <row r="7345" spans="1:4" x14ac:dyDescent="0.25">
      <c r="A7345" t="s">
        <v>647</v>
      </c>
      <c r="B7345" t="s">
        <v>131</v>
      </c>
      <c r="C7345" s="2">
        <f>HYPERLINK("https://svao.dolgi.msk.ru/account/1768023415/", 1768023415)</f>
        <v>1768023415</v>
      </c>
      <c r="D7345">
        <v>3679.38</v>
      </c>
    </row>
    <row r="7346" spans="1:4" x14ac:dyDescent="0.25">
      <c r="A7346" t="s">
        <v>647</v>
      </c>
      <c r="B7346" t="s">
        <v>125</v>
      </c>
      <c r="C7346" s="2">
        <f>HYPERLINK("https://svao.dolgi.msk.ru/account/1768006607/", 1768006607)</f>
        <v>1768006607</v>
      </c>
      <c r="D7346">
        <v>6590.92</v>
      </c>
    </row>
    <row r="7347" spans="1:4" x14ac:dyDescent="0.25">
      <c r="A7347" t="s">
        <v>647</v>
      </c>
      <c r="B7347" t="s">
        <v>80</v>
      </c>
      <c r="C7347" s="2">
        <f>HYPERLINK("https://svao.dolgi.msk.ru/account/1768023431/", 1768023431)</f>
        <v>1768023431</v>
      </c>
      <c r="D7347">
        <v>4012.74</v>
      </c>
    </row>
    <row r="7348" spans="1:4" x14ac:dyDescent="0.25">
      <c r="A7348" t="s">
        <v>647</v>
      </c>
      <c r="B7348" t="s">
        <v>118</v>
      </c>
      <c r="C7348" s="2">
        <f>HYPERLINK("https://svao.dolgi.msk.ru/account/1768006527/", 1768006527)</f>
        <v>1768006527</v>
      </c>
      <c r="D7348">
        <v>3194.13</v>
      </c>
    </row>
    <row r="7349" spans="1:4" x14ac:dyDescent="0.25">
      <c r="A7349" t="s">
        <v>647</v>
      </c>
      <c r="B7349" t="s">
        <v>25</v>
      </c>
      <c r="C7349" s="2">
        <f>HYPERLINK("https://svao.dolgi.msk.ru/account/1768023511/", 1768023511)</f>
        <v>1768023511</v>
      </c>
      <c r="D7349">
        <v>2940.38</v>
      </c>
    </row>
    <row r="7350" spans="1:4" x14ac:dyDescent="0.25">
      <c r="A7350" t="s">
        <v>647</v>
      </c>
      <c r="B7350" t="s">
        <v>132</v>
      </c>
      <c r="C7350" s="2">
        <f>HYPERLINK("https://svao.dolgi.msk.ru/account/1768023546/", 1768023546)</f>
        <v>1768023546</v>
      </c>
      <c r="D7350">
        <v>3262.88</v>
      </c>
    </row>
    <row r="7351" spans="1:4" x14ac:dyDescent="0.25">
      <c r="A7351" t="s">
        <v>647</v>
      </c>
      <c r="B7351" t="s">
        <v>243</v>
      </c>
      <c r="C7351" s="2">
        <f>HYPERLINK("https://svao.dolgi.msk.ru/account/1768023597/", 1768023597)</f>
        <v>1768023597</v>
      </c>
      <c r="D7351">
        <v>9283.8700000000008</v>
      </c>
    </row>
    <row r="7352" spans="1:4" x14ac:dyDescent="0.25">
      <c r="A7352" t="s">
        <v>647</v>
      </c>
      <c r="B7352" t="s">
        <v>121</v>
      </c>
      <c r="C7352" s="2">
        <f>HYPERLINK("https://svao.dolgi.msk.ru/account/1768023618/", 1768023618)</f>
        <v>1768023618</v>
      </c>
      <c r="D7352">
        <v>153134.56</v>
      </c>
    </row>
    <row r="7353" spans="1:4" x14ac:dyDescent="0.25">
      <c r="A7353" t="s">
        <v>647</v>
      </c>
      <c r="B7353" t="s">
        <v>134</v>
      </c>
      <c r="C7353" s="2">
        <f>HYPERLINK("https://svao.dolgi.msk.ru/account/1768023626/", 1768023626)</f>
        <v>1768023626</v>
      </c>
      <c r="D7353">
        <v>10929.27</v>
      </c>
    </row>
    <row r="7354" spans="1:4" x14ac:dyDescent="0.25">
      <c r="A7354" t="s">
        <v>647</v>
      </c>
      <c r="B7354" t="s">
        <v>139</v>
      </c>
      <c r="C7354" s="2">
        <f>HYPERLINK("https://svao.dolgi.msk.ru/account/1768006578/", 1768006578)</f>
        <v>1768006578</v>
      </c>
      <c r="D7354">
        <v>12057.48</v>
      </c>
    </row>
    <row r="7355" spans="1:4" x14ac:dyDescent="0.25">
      <c r="A7355" t="s">
        <v>647</v>
      </c>
      <c r="B7355" t="s">
        <v>28</v>
      </c>
      <c r="C7355" s="2">
        <f>HYPERLINK("https://svao.dolgi.msk.ru/account/1768023634/", 1768023634)</f>
        <v>1768023634</v>
      </c>
      <c r="D7355">
        <v>2667.69</v>
      </c>
    </row>
    <row r="7356" spans="1:4" x14ac:dyDescent="0.25">
      <c r="A7356" t="s">
        <v>647</v>
      </c>
      <c r="B7356" t="s">
        <v>29</v>
      </c>
      <c r="C7356" s="2">
        <f>HYPERLINK("https://svao.dolgi.msk.ru/account/1768006439/", 1768006439)</f>
        <v>1768006439</v>
      </c>
      <c r="D7356">
        <v>233.69</v>
      </c>
    </row>
    <row r="7357" spans="1:4" x14ac:dyDescent="0.25">
      <c r="A7357" t="s">
        <v>647</v>
      </c>
      <c r="B7357" t="s">
        <v>129</v>
      </c>
      <c r="C7357" s="2">
        <f>HYPERLINK("https://svao.dolgi.msk.ru/account/1768023669/", 1768023669)</f>
        <v>1768023669</v>
      </c>
      <c r="D7357">
        <v>2677.15</v>
      </c>
    </row>
    <row r="7358" spans="1:4" x14ac:dyDescent="0.25">
      <c r="A7358" t="s">
        <v>647</v>
      </c>
      <c r="B7358" t="s">
        <v>98</v>
      </c>
      <c r="C7358" s="2">
        <f>HYPERLINK("https://svao.dolgi.msk.ru/account/1768023714/", 1768023714)</f>
        <v>1768023714</v>
      </c>
      <c r="D7358">
        <v>3660.18</v>
      </c>
    </row>
    <row r="7359" spans="1:4" x14ac:dyDescent="0.25">
      <c r="A7359" t="s">
        <v>647</v>
      </c>
      <c r="B7359" t="s">
        <v>33</v>
      </c>
      <c r="C7359" s="2">
        <f>HYPERLINK("https://svao.dolgi.msk.ru/account/1768023757/", 1768023757)</f>
        <v>1768023757</v>
      </c>
      <c r="D7359">
        <v>12392.23</v>
      </c>
    </row>
    <row r="7360" spans="1:4" x14ac:dyDescent="0.25">
      <c r="A7360" t="s">
        <v>647</v>
      </c>
      <c r="B7360" t="s">
        <v>99</v>
      </c>
      <c r="C7360" s="2">
        <f>HYPERLINK("https://svao.dolgi.msk.ru/account/1768023781/", 1768023781)</f>
        <v>1768023781</v>
      </c>
      <c r="D7360">
        <v>2193.79</v>
      </c>
    </row>
    <row r="7361" spans="1:4" x14ac:dyDescent="0.25">
      <c r="A7361" t="s">
        <v>647</v>
      </c>
      <c r="B7361" t="s">
        <v>135</v>
      </c>
      <c r="C7361" s="2">
        <f>HYPERLINK("https://svao.dolgi.msk.ru/account/1768023802/", 1768023802)</f>
        <v>1768023802</v>
      </c>
      <c r="D7361">
        <v>5077.0600000000004</v>
      </c>
    </row>
    <row r="7362" spans="1:4" x14ac:dyDescent="0.25">
      <c r="A7362" t="s">
        <v>648</v>
      </c>
      <c r="B7362" t="s">
        <v>5</v>
      </c>
      <c r="C7362" s="2">
        <f>HYPERLINK("https://svao.dolgi.msk.ru/account/1760051964/", 1760051964)</f>
        <v>1760051964</v>
      </c>
      <c r="D7362">
        <v>59595.44</v>
      </c>
    </row>
    <row r="7363" spans="1:4" x14ac:dyDescent="0.25">
      <c r="A7363" t="s">
        <v>648</v>
      </c>
      <c r="B7363" t="s">
        <v>102</v>
      </c>
      <c r="C7363" s="2">
        <f>HYPERLINK("https://svao.dolgi.msk.ru/account/1760052035/", 1760052035)</f>
        <v>1760052035</v>
      </c>
      <c r="D7363">
        <v>6418.42</v>
      </c>
    </row>
    <row r="7364" spans="1:4" x14ac:dyDescent="0.25">
      <c r="A7364" t="s">
        <v>648</v>
      </c>
      <c r="B7364" t="s">
        <v>103</v>
      </c>
      <c r="C7364" s="2">
        <f>HYPERLINK("https://svao.dolgi.msk.ru/account/1760052043/", 1760052043)</f>
        <v>1760052043</v>
      </c>
      <c r="D7364">
        <v>2431.64</v>
      </c>
    </row>
    <row r="7365" spans="1:4" x14ac:dyDescent="0.25">
      <c r="A7365" t="s">
        <v>648</v>
      </c>
      <c r="B7365" t="s">
        <v>8</v>
      </c>
      <c r="C7365" s="2">
        <f>HYPERLINK("https://svao.dolgi.msk.ru/account/1760052094/", 1760052094)</f>
        <v>1760052094</v>
      </c>
      <c r="D7365">
        <v>7356.49</v>
      </c>
    </row>
    <row r="7366" spans="1:4" x14ac:dyDescent="0.25">
      <c r="A7366" t="s">
        <v>648</v>
      </c>
      <c r="B7366" t="s">
        <v>137</v>
      </c>
      <c r="C7366" s="2">
        <f>HYPERLINK("https://svao.dolgi.msk.ru/account/1760052115/", 1760052115)</f>
        <v>1760052115</v>
      </c>
      <c r="D7366">
        <v>50411.88</v>
      </c>
    </row>
    <row r="7367" spans="1:4" x14ac:dyDescent="0.25">
      <c r="A7367" t="s">
        <v>648</v>
      </c>
      <c r="B7367" t="s">
        <v>10</v>
      </c>
      <c r="C7367" s="2">
        <f>HYPERLINK("https://svao.dolgi.msk.ru/account/1760052166/", 1760052166)</f>
        <v>1760052166</v>
      </c>
      <c r="D7367">
        <v>5532.53</v>
      </c>
    </row>
    <row r="7368" spans="1:4" x14ac:dyDescent="0.25">
      <c r="A7368" t="s">
        <v>648</v>
      </c>
      <c r="B7368" t="s">
        <v>219</v>
      </c>
      <c r="C7368" s="2">
        <f>HYPERLINK("https://svao.dolgi.msk.ru/account/1760052174/", 1760052174)</f>
        <v>1760052174</v>
      </c>
      <c r="D7368">
        <v>8305.16</v>
      </c>
    </row>
    <row r="7369" spans="1:4" x14ac:dyDescent="0.25">
      <c r="A7369" t="s">
        <v>648</v>
      </c>
      <c r="B7369" t="s">
        <v>13</v>
      </c>
      <c r="C7369" s="2">
        <f>HYPERLINK("https://svao.dolgi.msk.ru/account/1760052211/", 1760052211)</f>
        <v>1760052211</v>
      </c>
      <c r="D7369">
        <v>3156.2</v>
      </c>
    </row>
    <row r="7370" spans="1:4" x14ac:dyDescent="0.25">
      <c r="A7370" t="s">
        <v>648</v>
      </c>
      <c r="B7370" t="s">
        <v>13</v>
      </c>
      <c r="C7370" s="2">
        <f>HYPERLINK("https://svao.dolgi.msk.ru/account/1760278819/", 1760278819)</f>
        <v>1760278819</v>
      </c>
      <c r="D7370">
        <v>16415.759999999998</v>
      </c>
    </row>
    <row r="7371" spans="1:4" x14ac:dyDescent="0.25">
      <c r="A7371" t="s">
        <v>648</v>
      </c>
      <c r="B7371" t="s">
        <v>106</v>
      </c>
      <c r="C7371" s="2">
        <f>HYPERLINK("https://svao.dolgi.msk.ru/account/1760052262/", 1760052262)</f>
        <v>1760052262</v>
      </c>
      <c r="D7371">
        <v>55943.88</v>
      </c>
    </row>
    <row r="7372" spans="1:4" x14ac:dyDescent="0.25">
      <c r="A7372" t="s">
        <v>648</v>
      </c>
      <c r="B7372" t="s">
        <v>106</v>
      </c>
      <c r="C7372" s="2">
        <f>HYPERLINK("https://svao.dolgi.msk.ru/account/1760052289/", 1760052289)</f>
        <v>1760052289</v>
      </c>
      <c r="D7372">
        <v>19899.02</v>
      </c>
    </row>
    <row r="7373" spans="1:4" x14ac:dyDescent="0.25">
      <c r="A7373" t="s">
        <v>648</v>
      </c>
      <c r="B7373" t="s">
        <v>106</v>
      </c>
      <c r="C7373" s="2">
        <f>HYPERLINK("https://svao.dolgi.msk.ru/account/1760052297/", 1760052297)</f>
        <v>1760052297</v>
      </c>
      <c r="D7373">
        <v>12011.1</v>
      </c>
    </row>
    <row r="7374" spans="1:4" x14ac:dyDescent="0.25">
      <c r="A7374" t="s">
        <v>648</v>
      </c>
      <c r="B7374" t="s">
        <v>107</v>
      </c>
      <c r="C7374" s="2">
        <f>HYPERLINK("https://svao.dolgi.msk.ru/account/1760052318/", 1760052318)</f>
        <v>1760052318</v>
      </c>
      <c r="D7374">
        <v>7456.66</v>
      </c>
    </row>
    <row r="7375" spans="1:4" x14ac:dyDescent="0.25">
      <c r="A7375" t="s">
        <v>648</v>
      </c>
      <c r="B7375" t="s">
        <v>108</v>
      </c>
      <c r="C7375" s="2">
        <f>HYPERLINK("https://svao.dolgi.msk.ru/account/1760052377/", 1760052377)</f>
        <v>1760052377</v>
      </c>
      <c r="D7375">
        <v>6347.17</v>
      </c>
    </row>
    <row r="7376" spans="1:4" x14ac:dyDescent="0.25">
      <c r="A7376" t="s">
        <v>648</v>
      </c>
      <c r="B7376" t="s">
        <v>18</v>
      </c>
      <c r="C7376" s="2">
        <f>HYPERLINK("https://svao.dolgi.msk.ru/account/1760052457/", 1760052457)</f>
        <v>1760052457</v>
      </c>
      <c r="D7376">
        <v>9877.41</v>
      </c>
    </row>
    <row r="7377" spans="1:4" x14ac:dyDescent="0.25">
      <c r="A7377" t="s">
        <v>648</v>
      </c>
      <c r="B7377" t="s">
        <v>109</v>
      </c>
      <c r="C7377" s="2">
        <f>HYPERLINK("https://svao.dolgi.msk.ru/account/1760052529/", 1760052529)</f>
        <v>1760052529</v>
      </c>
      <c r="D7377">
        <v>8793.2199999999993</v>
      </c>
    </row>
    <row r="7378" spans="1:4" x14ac:dyDescent="0.25">
      <c r="A7378" t="s">
        <v>648</v>
      </c>
      <c r="B7378" t="s">
        <v>94</v>
      </c>
      <c r="C7378" s="2">
        <f>HYPERLINK("https://svao.dolgi.msk.ru/account/1760052609/", 1760052609)</f>
        <v>1760052609</v>
      </c>
      <c r="D7378">
        <v>2923.07</v>
      </c>
    </row>
    <row r="7379" spans="1:4" x14ac:dyDescent="0.25">
      <c r="A7379" t="s">
        <v>648</v>
      </c>
      <c r="B7379" t="s">
        <v>113</v>
      </c>
      <c r="C7379" s="2">
        <f>HYPERLINK("https://svao.dolgi.msk.ru/account/1760052625/", 1760052625)</f>
        <v>1760052625</v>
      </c>
      <c r="D7379">
        <v>6359.55</v>
      </c>
    </row>
    <row r="7380" spans="1:4" x14ac:dyDescent="0.25">
      <c r="A7380" t="s">
        <v>648</v>
      </c>
      <c r="B7380" t="s">
        <v>21</v>
      </c>
      <c r="C7380" s="2">
        <f>HYPERLINK("https://svao.dolgi.msk.ru/account/1760052633/", 1760052633)</f>
        <v>1760052633</v>
      </c>
      <c r="D7380">
        <v>6016.76</v>
      </c>
    </row>
    <row r="7381" spans="1:4" x14ac:dyDescent="0.25">
      <c r="A7381" t="s">
        <v>648</v>
      </c>
      <c r="B7381" t="s">
        <v>114</v>
      </c>
      <c r="C7381" s="2">
        <f>HYPERLINK("https://svao.dolgi.msk.ru/account/1760052668/", 1760052668)</f>
        <v>1760052668</v>
      </c>
      <c r="D7381">
        <v>4690.41</v>
      </c>
    </row>
    <row r="7382" spans="1:4" x14ac:dyDescent="0.25">
      <c r="A7382" t="s">
        <v>648</v>
      </c>
      <c r="B7382" t="s">
        <v>114</v>
      </c>
      <c r="C7382" s="2">
        <f>HYPERLINK("https://svao.dolgi.msk.ru/account/1760052676/", 1760052676)</f>
        <v>1760052676</v>
      </c>
      <c r="D7382">
        <v>2362.98</v>
      </c>
    </row>
    <row r="7383" spans="1:4" x14ac:dyDescent="0.25">
      <c r="A7383" t="s">
        <v>648</v>
      </c>
      <c r="B7383" t="s">
        <v>78</v>
      </c>
      <c r="C7383" s="2">
        <f>HYPERLINK("https://svao.dolgi.msk.ru/account/1760052684/", 1760052684)</f>
        <v>1760052684</v>
      </c>
      <c r="D7383">
        <v>8218.14</v>
      </c>
    </row>
    <row r="7384" spans="1:4" x14ac:dyDescent="0.25">
      <c r="A7384" t="s">
        <v>648</v>
      </c>
      <c r="B7384" t="s">
        <v>22</v>
      </c>
      <c r="C7384" s="2">
        <f>HYPERLINK("https://svao.dolgi.msk.ru/account/1760052692/", 1760052692)</f>
        <v>1760052692</v>
      </c>
      <c r="D7384">
        <v>393859.4</v>
      </c>
    </row>
    <row r="7385" spans="1:4" x14ac:dyDescent="0.25">
      <c r="A7385" t="s">
        <v>648</v>
      </c>
      <c r="B7385" t="s">
        <v>79</v>
      </c>
      <c r="C7385" s="2">
        <f>HYPERLINK("https://svao.dolgi.msk.ru/account/1760052721/", 1760052721)</f>
        <v>1760052721</v>
      </c>
      <c r="D7385">
        <v>3856.76</v>
      </c>
    </row>
    <row r="7386" spans="1:4" x14ac:dyDescent="0.25">
      <c r="A7386" t="s">
        <v>648</v>
      </c>
      <c r="B7386" t="s">
        <v>23</v>
      </c>
      <c r="C7386" s="2">
        <f>HYPERLINK("https://svao.dolgi.msk.ru/account/1760052748/", 1760052748)</f>
        <v>1760052748</v>
      </c>
      <c r="D7386">
        <v>96172.800000000003</v>
      </c>
    </row>
    <row r="7387" spans="1:4" x14ac:dyDescent="0.25">
      <c r="A7387" t="s">
        <v>649</v>
      </c>
      <c r="B7387" t="s">
        <v>41</v>
      </c>
      <c r="C7387" s="2">
        <f>HYPERLINK("https://svao.dolgi.msk.ru/account/1760194279/", 1760194279)</f>
        <v>1760194279</v>
      </c>
      <c r="D7387">
        <v>1791.08</v>
      </c>
    </row>
    <row r="7388" spans="1:4" x14ac:dyDescent="0.25">
      <c r="A7388" t="s">
        <v>649</v>
      </c>
      <c r="B7388" t="s">
        <v>5</v>
      </c>
      <c r="C7388" s="2">
        <f>HYPERLINK("https://svao.dolgi.msk.ru/account/1760194287/", 1760194287)</f>
        <v>1760194287</v>
      </c>
      <c r="D7388">
        <v>78723.88</v>
      </c>
    </row>
    <row r="7389" spans="1:4" x14ac:dyDescent="0.25">
      <c r="A7389" t="s">
        <v>649</v>
      </c>
      <c r="B7389" t="s">
        <v>141</v>
      </c>
      <c r="C7389" s="2">
        <f>HYPERLINK("https://svao.dolgi.msk.ru/account/1760194316/", 1760194316)</f>
        <v>1760194316</v>
      </c>
      <c r="D7389">
        <v>3863.43</v>
      </c>
    </row>
    <row r="7390" spans="1:4" x14ac:dyDescent="0.25">
      <c r="A7390" t="s">
        <v>649</v>
      </c>
      <c r="B7390" t="s">
        <v>102</v>
      </c>
      <c r="C7390" s="2">
        <f>HYPERLINK("https://svao.dolgi.msk.ru/account/1760194324/", 1760194324)</f>
        <v>1760194324</v>
      </c>
      <c r="D7390">
        <v>6323.4</v>
      </c>
    </row>
    <row r="7391" spans="1:4" x14ac:dyDescent="0.25">
      <c r="A7391" t="s">
        <v>649</v>
      </c>
      <c r="B7391" t="s">
        <v>73</v>
      </c>
      <c r="C7391" s="2">
        <f>HYPERLINK("https://svao.dolgi.msk.ru/account/1760194359/", 1760194359)</f>
        <v>1760194359</v>
      </c>
      <c r="D7391">
        <v>1983.57</v>
      </c>
    </row>
    <row r="7392" spans="1:4" x14ac:dyDescent="0.25">
      <c r="A7392" t="s">
        <v>649</v>
      </c>
      <c r="B7392" t="s">
        <v>8</v>
      </c>
      <c r="C7392" s="2">
        <f>HYPERLINK("https://svao.dolgi.msk.ru/account/1760194375/", 1760194375)</f>
        <v>1760194375</v>
      </c>
      <c r="D7392">
        <v>4693.67</v>
      </c>
    </row>
    <row r="7393" spans="1:4" x14ac:dyDescent="0.25">
      <c r="A7393" t="s">
        <v>649</v>
      </c>
      <c r="B7393" t="s">
        <v>74</v>
      </c>
      <c r="C7393" s="2">
        <f>HYPERLINK("https://svao.dolgi.msk.ru/account/1760194383/", 1760194383)</f>
        <v>1760194383</v>
      </c>
      <c r="D7393">
        <v>4446.25</v>
      </c>
    </row>
    <row r="7394" spans="1:4" x14ac:dyDescent="0.25">
      <c r="A7394" t="s">
        <v>649</v>
      </c>
      <c r="B7394" t="s">
        <v>91</v>
      </c>
      <c r="C7394" s="2">
        <f>HYPERLINK("https://svao.dolgi.msk.ru/account/1760194439/", 1760194439)</f>
        <v>1760194439</v>
      </c>
      <c r="D7394">
        <v>3726.34</v>
      </c>
    </row>
    <row r="7395" spans="1:4" x14ac:dyDescent="0.25">
      <c r="A7395" t="s">
        <v>649</v>
      </c>
      <c r="B7395" t="s">
        <v>11</v>
      </c>
      <c r="C7395" s="2">
        <f>HYPERLINK("https://svao.dolgi.msk.ru/account/1760194463/", 1760194463)</f>
        <v>1760194463</v>
      </c>
      <c r="D7395">
        <v>1363.76</v>
      </c>
    </row>
    <row r="7396" spans="1:4" x14ac:dyDescent="0.25">
      <c r="A7396" t="s">
        <v>649</v>
      </c>
      <c r="B7396" t="s">
        <v>12</v>
      </c>
      <c r="C7396" s="2">
        <f>HYPERLINK("https://svao.dolgi.msk.ru/account/1760194471/", 1760194471)</f>
        <v>1760194471</v>
      </c>
      <c r="D7396">
        <v>10028.41</v>
      </c>
    </row>
    <row r="7397" spans="1:4" x14ac:dyDescent="0.25">
      <c r="A7397" t="s">
        <v>649</v>
      </c>
      <c r="B7397" t="s">
        <v>13</v>
      </c>
      <c r="C7397" s="2">
        <f>HYPERLINK("https://svao.dolgi.msk.ru/account/1760194498/", 1760194498)</f>
        <v>1760194498</v>
      </c>
      <c r="D7397">
        <v>9640.43</v>
      </c>
    </row>
    <row r="7398" spans="1:4" x14ac:dyDescent="0.25">
      <c r="A7398" t="s">
        <v>649</v>
      </c>
      <c r="B7398" t="s">
        <v>14</v>
      </c>
      <c r="C7398" s="2">
        <f>HYPERLINK("https://svao.dolgi.msk.ru/account/1760194519/", 1760194519)</f>
        <v>1760194519</v>
      </c>
      <c r="D7398">
        <v>5606.56</v>
      </c>
    </row>
    <row r="7399" spans="1:4" x14ac:dyDescent="0.25">
      <c r="A7399" t="s">
        <v>649</v>
      </c>
      <c r="B7399" t="s">
        <v>16</v>
      </c>
      <c r="C7399" s="2">
        <f>HYPERLINK("https://svao.dolgi.msk.ru/account/1760194578/", 1760194578)</f>
        <v>1760194578</v>
      </c>
      <c r="D7399">
        <v>6317.21</v>
      </c>
    </row>
    <row r="7400" spans="1:4" x14ac:dyDescent="0.25">
      <c r="A7400" t="s">
        <v>649</v>
      </c>
      <c r="B7400" t="s">
        <v>18</v>
      </c>
      <c r="C7400" s="2">
        <f>HYPERLINK("https://svao.dolgi.msk.ru/account/1760194594/", 1760194594)</f>
        <v>1760194594</v>
      </c>
      <c r="D7400">
        <v>9142.6200000000008</v>
      </c>
    </row>
    <row r="7401" spans="1:4" x14ac:dyDescent="0.25">
      <c r="A7401" t="s">
        <v>649</v>
      </c>
      <c r="B7401" t="s">
        <v>92</v>
      </c>
      <c r="C7401" s="2">
        <f>HYPERLINK("https://svao.dolgi.msk.ru/account/1760194666/", 1760194666)</f>
        <v>1760194666</v>
      </c>
      <c r="D7401">
        <v>3338.54</v>
      </c>
    </row>
    <row r="7402" spans="1:4" x14ac:dyDescent="0.25">
      <c r="A7402" t="s">
        <v>649</v>
      </c>
      <c r="B7402" t="s">
        <v>94</v>
      </c>
      <c r="C7402" s="2">
        <f>HYPERLINK("https://svao.dolgi.msk.ru/account/1760194703/", 1760194703)</f>
        <v>1760194703</v>
      </c>
      <c r="D7402">
        <v>1376.63</v>
      </c>
    </row>
    <row r="7403" spans="1:4" x14ac:dyDescent="0.25">
      <c r="A7403" t="s">
        <v>650</v>
      </c>
      <c r="B7403" t="s">
        <v>6</v>
      </c>
      <c r="C7403" s="2">
        <f>HYPERLINK("https://svao.dolgi.msk.ru/account/1760052801/", 1760052801)</f>
        <v>1760052801</v>
      </c>
      <c r="D7403">
        <v>3757.21</v>
      </c>
    </row>
    <row r="7404" spans="1:4" x14ac:dyDescent="0.25">
      <c r="A7404" t="s">
        <v>650</v>
      </c>
      <c r="B7404" t="s">
        <v>41</v>
      </c>
      <c r="C7404" s="2">
        <f>HYPERLINK("https://svao.dolgi.msk.ru/account/1760052828/", 1760052828)</f>
        <v>1760052828</v>
      </c>
      <c r="D7404">
        <v>3899.65</v>
      </c>
    </row>
    <row r="7405" spans="1:4" x14ac:dyDescent="0.25">
      <c r="A7405" t="s">
        <v>650</v>
      </c>
      <c r="B7405" t="s">
        <v>104</v>
      </c>
      <c r="C7405" s="2">
        <f>HYPERLINK("https://svao.dolgi.msk.ru/account/1760052916/", 1760052916)</f>
        <v>1760052916</v>
      </c>
      <c r="D7405">
        <v>375.2</v>
      </c>
    </row>
    <row r="7406" spans="1:4" x14ac:dyDescent="0.25">
      <c r="A7406" t="s">
        <v>650</v>
      </c>
      <c r="B7406" t="s">
        <v>8</v>
      </c>
      <c r="C7406" s="2">
        <f>HYPERLINK("https://svao.dolgi.msk.ru/account/1760052924/", 1760052924)</f>
        <v>1760052924</v>
      </c>
      <c r="D7406">
        <v>5234.03</v>
      </c>
    </row>
    <row r="7407" spans="1:4" x14ac:dyDescent="0.25">
      <c r="A7407" t="s">
        <v>650</v>
      </c>
      <c r="B7407" t="s">
        <v>74</v>
      </c>
      <c r="C7407" s="2">
        <f>HYPERLINK("https://svao.dolgi.msk.ru/account/1760052932/", 1760052932)</f>
        <v>1760052932</v>
      </c>
      <c r="D7407">
        <v>491.37</v>
      </c>
    </row>
    <row r="7408" spans="1:4" x14ac:dyDescent="0.25">
      <c r="A7408" t="s">
        <v>650</v>
      </c>
      <c r="B7408" t="s">
        <v>9</v>
      </c>
      <c r="C7408" s="2">
        <f>HYPERLINK("https://svao.dolgi.msk.ru/account/1760052967/", 1760052967)</f>
        <v>1760052967</v>
      </c>
      <c r="D7408">
        <v>5684.47</v>
      </c>
    </row>
    <row r="7409" spans="1:4" x14ac:dyDescent="0.25">
      <c r="A7409" t="s">
        <v>650</v>
      </c>
      <c r="B7409" t="s">
        <v>11</v>
      </c>
      <c r="C7409" s="2">
        <f>HYPERLINK("https://svao.dolgi.msk.ru/account/1760053011/", 1760053011)</f>
        <v>1760053011</v>
      </c>
      <c r="D7409">
        <v>6398.09</v>
      </c>
    </row>
    <row r="7410" spans="1:4" x14ac:dyDescent="0.25">
      <c r="A7410" t="s">
        <v>650</v>
      </c>
      <c r="B7410" t="s">
        <v>106</v>
      </c>
      <c r="C7410" s="2">
        <f>HYPERLINK("https://svao.dolgi.msk.ru/account/1760053062/", 1760053062)</f>
        <v>1760053062</v>
      </c>
      <c r="D7410">
        <v>3093.77</v>
      </c>
    </row>
    <row r="7411" spans="1:4" x14ac:dyDescent="0.25">
      <c r="A7411" t="s">
        <v>650</v>
      </c>
      <c r="B7411" t="s">
        <v>108</v>
      </c>
      <c r="C7411" s="2">
        <f>HYPERLINK("https://svao.dolgi.msk.ru/account/1760053118/", 1760053118)</f>
        <v>1760053118</v>
      </c>
      <c r="D7411">
        <v>3663.64</v>
      </c>
    </row>
    <row r="7412" spans="1:4" x14ac:dyDescent="0.25">
      <c r="A7412" t="s">
        <v>650</v>
      </c>
      <c r="B7412" t="s">
        <v>17</v>
      </c>
      <c r="C7412" s="2">
        <f>HYPERLINK("https://svao.dolgi.msk.ru/account/1760053134/", 1760053134)</f>
        <v>1760053134</v>
      </c>
      <c r="D7412">
        <v>1544.69</v>
      </c>
    </row>
    <row r="7413" spans="1:4" x14ac:dyDescent="0.25">
      <c r="A7413" t="s">
        <v>650</v>
      </c>
      <c r="B7413" t="s">
        <v>18</v>
      </c>
      <c r="C7413" s="2">
        <f>HYPERLINK("https://svao.dolgi.msk.ru/account/1760053142/", 1760053142)</f>
        <v>1760053142</v>
      </c>
      <c r="D7413">
        <v>3944.8</v>
      </c>
    </row>
    <row r="7414" spans="1:4" x14ac:dyDescent="0.25">
      <c r="A7414" t="s">
        <v>650</v>
      </c>
      <c r="B7414" t="s">
        <v>92</v>
      </c>
      <c r="C7414" s="2">
        <f>HYPERLINK("https://svao.dolgi.msk.ru/account/1760053214/", 1760053214)</f>
        <v>1760053214</v>
      </c>
      <c r="D7414">
        <v>3840.25</v>
      </c>
    </row>
    <row r="7415" spans="1:4" x14ac:dyDescent="0.25">
      <c r="A7415" t="s">
        <v>650</v>
      </c>
      <c r="B7415" t="s">
        <v>111</v>
      </c>
      <c r="C7415" s="2">
        <f>HYPERLINK("https://svao.dolgi.msk.ru/account/1760053249/", 1760053249)</f>
        <v>1760053249</v>
      </c>
      <c r="D7415">
        <v>8257.8799999999992</v>
      </c>
    </row>
    <row r="7416" spans="1:4" x14ac:dyDescent="0.25">
      <c r="A7416" t="s">
        <v>650</v>
      </c>
      <c r="B7416" t="s">
        <v>113</v>
      </c>
      <c r="C7416" s="2">
        <f>HYPERLINK("https://svao.dolgi.msk.ru/account/1760053273/", 1760053273)</f>
        <v>1760053273</v>
      </c>
      <c r="D7416">
        <v>5893.22</v>
      </c>
    </row>
    <row r="7417" spans="1:4" x14ac:dyDescent="0.25">
      <c r="A7417" t="s">
        <v>650</v>
      </c>
      <c r="B7417" t="s">
        <v>21</v>
      </c>
      <c r="C7417" s="2">
        <f>HYPERLINK("https://svao.dolgi.msk.ru/account/1760053281/", 1760053281)</f>
        <v>1760053281</v>
      </c>
      <c r="D7417">
        <v>19220.36</v>
      </c>
    </row>
    <row r="7418" spans="1:4" x14ac:dyDescent="0.25">
      <c r="A7418" t="s">
        <v>650</v>
      </c>
      <c r="B7418" t="s">
        <v>77</v>
      </c>
      <c r="C7418" s="2">
        <f>HYPERLINK("https://svao.dolgi.msk.ru/account/1760053302/", 1760053302)</f>
        <v>1760053302</v>
      </c>
      <c r="D7418">
        <v>684.31</v>
      </c>
    </row>
    <row r="7419" spans="1:4" x14ac:dyDescent="0.25">
      <c r="A7419" t="s">
        <v>650</v>
      </c>
      <c r="B7419" t="s">
        <v>22</v>
      </c>
      <c r="C7419" s="2">
        <f>HYPERLINK("https://svao.dolgi.msk.ru/account/1760053345/", 1760053345)</f>
        <v>1760053345</v>
      </c>
      <c r="D7419">
        <v>3227.64</v>
      </c>
    </row>
    <row r="7420" spans="1:4" x14ac:dyDescent="0.25">
      <c r="A7420" t="s">
        <v>650</v>
      </c>
      <c r="B7420" t="s">
        <v>117</v>
      </c>
      <c r="C7420" s="2">
        <f>HYPERLINK("https://svao.dolgi.msk.ru/account/1760053396/", 1760053396)</f>
        <v>1760053396</v>
      </c>
      <c r="D7420">
        <v>2567.19</v>
      </c>
    </row>
    <row r="7421" spans="1:4" x14ac:dyDescent="0.25">
      <c r="A7421" t="s">
        <v>650</v>
      </c>
      <c r="B7421" t="s">
        <v>24</v>
      </c>
      <c r="C7421" s="2">
        <f>HYPERLINK("https://svao.dolgi.msk.ru/account/1760053425/", 1760053425)</f>
        <v>1760053425</v>
      </c>
      <c r="D7421">
        <v>9173.83</v>
      </c>
    </row>
    <row r="7422" spans="1:4" x14ac:dyDescent="0.25">
      <c r="A7422" t="s">
        <v>650</v>
      </c>
      <c r="B7422" t="s">
        <v>314</v>
      </c>
      <c r="C7422" s="2">
        <f>HYPERLINK("https://svao.dolgi.msk.ru/account/1760053433/", 1760053433)</f>
        <v>1760053433</v>
      </c>
      <c r="D7422">
        <v>19932.86</v>
      </c>
    </row>
    <row r="7423" spans="1:4" x14ac:dyDescent="0.25">
      <c r="A7423" t="s">
        <v>650</v>
      </c>
      <c r="B7423" t="s">
        <v>242</v>
      </c>
      <c r="C7423" s="2">
        <f>HYPERLINK("https://svao.dolgi.msk.ru/account/1760053441/", 1760053441)</f>
        <v>1760053441</v>
      </c>
      <c r="D7423">
        <v>1658.44</v>
      </c>
    </row>
    <row r="7424" spans="1:4" x14ac:dyDescent="0.25">
      <c r="A7424" t="s">
        <v>650</v>
      </c>
      <c r="B7424" t="s">
        <v>95</v>
      </c>
      <c r="C7424" s="2">
        <f>HYPERLINK("https://svao.dolgi.msk.ru/account/1760053468/", 1760053468)</f>
        <v>1760053468</v>
      </c>
      <c r="D7424">
        <v>6469.12</v>
      </c>
    </row>
    <row r="7425" spans="1:4" x14ac:dyDescent="0.25">
      <c r="A7425" t="s">
        <v>650</v>
      </c>
      <c r="B7425" t="s">
        <v>131</v>
      </c>
      <c r="C7425" s="2">
        <f>HYPERLINK("https://svao.dolgi.msk.ru/account/1760053476/", 1760053476)</f>
        <v>1760053476</v>
      </c>
      <c r="D7425">
        <v>9453.98</v>
      </c>
    </row>
    <row r="7426" spans="1:4" x14ac:dyDescent="0.25">
      <c r="A7426" t="s">
        <v>650</v>
      </c>
      <c r="B7426" t="s">
        <v>118</v>
      </c>
      <c r="C7426" s="2">
        <f>HYPERLINK("https://svao.dolgi.msk.ru/account/1760053513/", 1760053513)</f>
        <v>1760053513</v>
      </c>
      <c r="D7426">
        <v>3550.38</v>
      </c>
    </row>
    <row r="7427" spans="1:4" x14ac:dyDescent="0.25">
      <c r="A7427" t="s">
        <v>650</v>
      </c>
      <c r="B7427" t="s">
        <v>119</v>
      </c>
      <c r="C7427" s="2">
        <f>HYPERLINK("https://svao.dolgi.msk.ru/account/1760053556/", 1760053556)</f>
        <v>1760053556</v>
      </c>
      <c r="D7427">
        <v>3203.12</v>
      </c>
    </row>
    <row r="7428" spans="1:4" x14ac:dyDescent="0.25">
      <c r="A7428" t="s">
        <v>650</v>
      </c>
      <c r="B7428" t="s">
        <v>132</v>
      </c>
      <c r="C7428" s="2">
        <f>HYPERLINK("https://svao.dolgi.msk.ru/account/1760053636/", 1760053636)</f>
        <v>1760053636</v>
      </c>
      <c r="D7428">
        <v>2800.19</v>
      </c>
    </row>
    <row r="7429" spans="1:4" x14ac:dyDescent="0.25">
      <c r="A7429" t="s">
        <v>650</v>
      </c>
      <c r="B7429" t="s">
        <v>26</v>
      </c>
      <c r="C7429" s="2">
        <f>HYPERLINK("https://svao.dolgi.msk.ru/account/1760053644/", 1760053644)</f>
        <v>1760053644</v>
      </c>
      <c r="D7429">
        <v>5877.24</v>
      </c>
    </row>
    <row r="7430" spans="1:4" x14ac:dyDescent="0.25">
      <c r="A7430" t="s">
        <v>650</v>
      </c>
      <c r="B7430" t="s">
        <v>133</v>
      </c>
      <c r="C7430" s="2">
        <f>HYPERLINK("https://svao.dolgi.msk.ru/account/1760053652/", 1760053652)</f>
        <v>1760053652</v>
      </c>
      <c r="D7430">
        <v>3769.55</v>
      </c>
    </row>
    <row r="7431" spans="1:4" x14ac:dyDescent="0.25">
      <c r="A7431" t="s">
        <v>650</v>
      </c>
      <c r="B7431" t="s">
        <v>96</v>
      </c>
      <c r="C7431" s="2">
        <f>HYPERLINK("https://svao.dolgi.msk.ru/account/1760053679/", 1760053679)</f>
        <v>1760053679</v>
      </c>
      <c r="D7431">
        <v>7263.26</v>
      </c>
    </row>
    <row r="7432" spans="1:4" x14ac:dyDescent="0.25">
      <c r="A7432" t="s">
        <v>650</v>
      </c>
      <c r="B7432" t="s">
        <v>27</v>
      </c>
      <c r="C7432" s="2">
        <f>HYPERLINK("https://svao.dolgi.msk.ru/account/1760053687/", 1760053687)</f>
        <v>1760053687</v>
      </c>
      <c r="D7432">
        <v>2042.66</v>
      </c>
    </row>
    <row r="7433" spans="1:4" x14ac:dyDescent="0.25">
      <c r="A7433" t="s">
        <v>650</v>
      </c>
      <c r="B7433" t="s">
        <v>243</v>
      </c>
      <c r="C7433" s="2">
        <f>HYPERLINK("https://svao.dolgi.msk.ru/account/1760053708/", 1760053708)</f>
        <v>1760053708</v>
      </c>
      <c r="D7433">
        <v>206.08</v>
      </c>
    </row>
    <row r="7434" spans="1:4" x14ac:dyDescent="0.25">
      <c r="A7434" t="s">
        <v>650</v>
      </c>
      <c r="B7434" t="s">
        <v>121</v>
      </c>
      <c r="C7434" s="2">
        <f>HYPERLINK("https://svao.dolgi.msk.ru/account/1760053716/", 1760053716)</f>
        <v>1760053716</v>
      </c>
      <c r="D7434">
        <v>5856.63</v>
      </c>
    </row>
    <row r="7435" spans="1:4" x14ac:dyDescent="0.25">
      <c r="A7435" t="s">
        <v>650</v>
      </c>
      <c r="B7435" t="s">
        <v>97</v>
      </c>
      <c r="C7435" s="2">
        <f>HYPERLINK("https://svao.dolgi.msk.ru/account/1760053804/", 1760053804)</f>
        <v>1760053804</v>
      </c>
      <c r="D7435">
        <v>6609.88</v>
      </c>
    </row>
    <row r="7436" spans="1:4" x14ac:dyDescent="0.25">
      <c r="A7436" t="s">
        <v>650</v>
      </c>
      <c r="B7436" t="s">
        <v>85</v>
      </c>
      <c r="C7436" s="2">
        <f>HYPERLINK("https://svao.dolgi.msk.ru/account/1760053898/", 1760053898)</f>
        <v>1760053898</v>
      </c>
      <c r="D7436">
        <v>5418.66</v>
      </c>
    </row>
    <row r="7437" spans="1:4" x14ac:dyDescent="0.25">
      <c r="A7437" t="s">
        <v>650</v>
      </c>
      <c r="B7437" t="s">
        <v>87</v>
      </c>
      <c r="C7437" s="2">
        <f>HYPERLINK("https://svao.dolgi.msk.ru/account/1760053994/", 1760053994)</f>
        <v>1760053994</v>
      </c>
      <c r="D7437">
        <v>4971.66</v>
      </c>
    </row>
    <row r="7438" spans="1:4" x14ac:dyDescent="0.25">
      <c r="A7438" t="s">
        <v>650</v>
      </c>
      <c r="B7438" t="s">
        <v>38</v>
      </c>
      <c r="C7438" s="2">
        <f>HYPERLINK("https://svao.dolgi.msk.ru/account/1760054065/", 1760054065)</f>
        <v>1760054065</v>
      </c>
      <c r="D7438">
        <v>2645.15</v>
      </c>
    </row>
    <row r="7439" spans="1:4" x14ac:dyDescent="0.25">
      <c r="A7439" t="s">
        <v>650</v>
      </c>
      <c r="B7439" t="s">
        <v>40</v>
      </c>
      <c r="C7439" s="2">
        <f>HYPERLINK("https://svao.dolgi.msk.ru/account/1760054081/", 1760054081)</f>
        <v>1760054081</v>
      </c>
      <c r="D7439">
        <v>4492.91</v>
      </c>
    </row>
    <row r="7440" spans="1:4" x14ac:dyDescent="0.25">
      <c r="A7440" t="s">
        <v>650</v>
      </c>
      <c r="B7440" t="s">
        <v>43</v>
      </c>
      <c r="C7440" s="2">
        <f>HYPERLINK("https://svao.dolgi.msk.ru/account/1760054102/", 1760054102)</f>
        <v>1760054102</v>
      </c>
      <c r="D7440">
        <v>6726.8</v>
      </c>
    </row>
    <row r="7441" spans="1:4" x14ac:dyDescent="0.25">
      <c r="A7441" t="s">
        <v>650</v>
      </c>
      <c r="B7441" t="s">
        <v>140</v>
      </c>
      <c r="C7441" s="2">
        <f>HYPERLINK("https://svao.dolgi.msk.ru/account/1760054129/", 1760054129)</f>
        <v>1760054129</v>
      </c>
      <c r="D7441">
        <v>3950.84</v>
      </c>
    </row>
    <row r="7442" spans="1:4" x14ac:dyDescent="0.25">
      <c r="A7442" t="s">
        <v>650</v>
      </c>
      <c r="B7442" t="s">
        <v>89</v>
      </c>
      <c r="C7442" s="2">
        <f>HYPERLINK("https://svao.dolgi.msk.ru/account/1760054145/", 1760054145)</f>
        <v>1760054145</v>
      </c>
      <c r="D7442">
        <v>4509.78</v>
      </c>
    </row>
    <row r="7443" spans="1:4" x14ac:dyDescent="0.25">
      <c r="A7443" t="s">
        <v>650</v>
      </c>
      <c r="B7443" t="s">
        <v>142</v>
      </c>
      <c r="C7443" s="2">
        <f>HYPERLINK("https://svao.dolgi.msk.ru/account/1760054153/", 1760054153)</f>
        <v>1760054153</v>
      </c>
      <c r="D7443">
        <v>8270.76</v>
      </c>
    </row>
    <row r="7444" spans="1:4" x14ac:dyDescent="0.25">
      <c r="A7444" t="s">
        <v>650</v>
      </c>
      <c r="B7444" t="s">
        <v>247</v>
      </c>
      <c r="C7444" s="2">
        <f>HYPERLINK("https://svao.dolgi.msk.ru/account/1760054161/", 1760054161)</f>
        <v>1760054161</v>
      </c>
      <c r="D7444">
        <v>4984.82</v>
      </c>
    </row>
    <row r="7445" spans="1:4" x14ac:dyDescent="0.25">
      <c r="A7445" t="s">
        <v>650</v>
      </c>
      <c r="B7445" t="s">
        <v>301</v>
      </c>
      <c r="C7445" s="2">
        <f>HYPERLINK("https://svao.dolgi.msk.ru/account/1760054233/", 1760054233)</f>
        <v>1760054233</v>
      </c>
      <c r="D7445">
        <v>7263.89</v>
      </c>
    </row>
    <row r="7446" spans="1:4" x14ac:dyDescent="0.25">
      <c r="A7446" t="s">
        <v>650</v>
      </c>
      <c r="B7446" t="s">
        <v>145</v>
      </c>
      <c r="C7446" s="2">
        <f>HYPERLINK("https://svao.dolgi.msk.ru/account/1760054276/", 1760054276)</f>
        <v>1760054276</v>
      </c>
      <c r="D7446">
        <v>1708.47</v>
      </c>
    </row>
    <row r="7447" spans="1:4" x14ac:dyDescent="0.25">
      <c r="A7447" t="s">
        <v>650</v>
      </c>
      <c r="B7447" t="s">
        <v>250</v>
      </c>
      <c r="C7447" s="2">
        <f>HYPERLINK("https://svao.dolgi.msk.ru/account/1760054313/", 1760054313)</f>
        <v>1760054313</v>
      </c>
      <c r="D7447">
        <v>6396.89</v>
      </c>
    </row>
    <row r="7448" spans="1:4" x14ac:dyDescent="0.25">
      <c r="A7448" t="s">
        <v>650</v>
      </c>
      <c r="B7448" t="s">
        <v>252</v>
      </c>
      <c r="C7448" s="2">
        <f>HYPERLINK("https://svao.dolgi.msk.ru/account/1760054401/", 1760054401)</f>
        <v>1760054401</v>
      </c>
      <c r="D7448">
        <v>11063.05</v>
      </c>
    </row>
    <row r="7449" spans="1:4" x14ac:dyDescent="0.25">
      <c r="A7449" t="s">
        <v>650</v>
      </c>
      <c r="B7449" t="s">
        <v>50</v>
      </c>
      <c r="C7449" s="2">
        <f>HYPERLINK("https://svao.dolgi.msk.ru/account/1760054436/", 1760054436)</f>
        <v>1760054436</v>
      </c>
      <c r="D7449">
        <v>4040.28</v>
      </c>
    </row>
    <row r="7450" spans="1:4" x14ac:dyDescent="0.25">
      <c r="A7450" t="s">
        <v>650</v>
      </c>
      <c r="B7450" t="s">
        <v>331</v>
      </c>
      <c r="C7450" s="2">
        <f>HYPERLINK("https://svao.dolgi.msk.ru/account/1760054479/", 1760054479)</f>
        <v>1760054479</v>
      </c>
      <c r="D7450">
        <v>6422.01</v>
      </c>
    </row>
    <row r="7451" spans="1:4" x14ac:dyDescent="0.25">
      <c r="A7451" t="s">
        <v>651</v>
      </c>
      <c r="B7451" t="s">
        <v>6</v>
      </c>
      <c r="C7451" s="2">
        <f>HYPERLINK("https://svao.dolgi.msk.ru/account/1760040448/", 1760040448)</f>
        <v>1760040448</v>
      </c>
      <c r="D7451">
        <v>137227.87</v>
      </c>
    </row>
    <row r="7452" spans="1:4" x14ac:dyDescent="0.25">
      <c r="A7452" t="s">
        <v>651</v>
      </c>
      <c r="B7452" t="s">
        <v>41</v>
      </c>
      <c r="C7452" s="2">
        <f>HYPERLINK("https://svao.dolgi.msk.ru/account/1760040923/", 1760040923)</f>
        <v>1760040923</v>
      </c>
      <c r="D7452">
        <v>34779.660000000003</v>
      </c>
    </row>
    <row r="7453" spans="1:4" x14ac:dyDescent="0.25">
      <c r="A7453" t="s">
        <v>651</v>
      </c>
      <c r="B7453" t="s">
        <v>101</v>
      </c>
      <c r="C7453" s="2">
        <f>HYPERLINK("https://svao.dolgi.msk.ru/account/1760040528/", 1760040528)</f>
        <v>1760040528</v>
      </c>
      <c r="D7453">
        <v>1598.29</v>
      </c>
    </row>
    <row r="7454" spans="1:4" x14ac:dyDescent="0.25">
      <c r="A7454" t="s">
        <v>651</v>
      </c>
      <c r="B7454" t="s">
        <v>101</v>
      </c>
      <c r="C7454" s="2">
        <f>HYPERLINK("https://svao.dolgi.msk.ru/account/1760040536/", 1760040536)</f>
        <v>1760040536</v>
      </c>
      <c r="D7454">
        <v>4965.76</v>
      </c>
    </row>
    <row r="7455" spans="1:4" x14ac:dyDescent="0.25">
      <c r="A7455" t="s">
        <v>651</v>
      </c>
      <c r="B7455" t="s">
        <v>141</v>
      </c>
      <c r="C7455" s="2">
        <f>HYPERLINK("https://svao.dolgi.msk.ru/account/1760040456/", 1760040456)</f>
        <v>1760040456</v>
      </c>
      <c r="D7455">
        <v>11754.59</v>
      </c>
    </row>
    <row r="7456" spans="1:4" x14ac:dyDescent="0.25">
      <c r="A7456" t="s">
        <v>651</v>
      </c>
      <c r="B7456" t="s">
        <v>102</v>
      </c>
      <c r="C7456" s="2">
        <f>HYPERLINK("https://svao.dolgi.msk.ru/account/1760040587/", 1760040587)</f>
        <v>1760040587</v>
      </c>
      <c r="D7456">
        <v>5851.83</v>
      </c>
    </row>
    <row r="7457" spans="1:4" x14ac:dyDescent="0.25">
      <c r="A7457" t="s">
        <v>651</v>
      </c>
      <c r="B7457" t="s">
        <v>73</v>
      </c>
      <c r="C7457" s="2">
        <f>HYPERLINK("https://svao.dolgi.msk.ru/account/1760040624/", 1760040624)</f>
        <v>1760040624</v>
      </c>
      <c r="D7457">
        <v>2365.02</v>
      </c>
    </row>
    <row r="7458" spans="1:4" x14ac:dyDescent="0.25">
      <c r="A7458" t="s">
        <v>651</v>
      </c>
      <c r="B7458" t="s">
        <v>73</v>
      </c>
      <c r="C7458" s="2">
        <f>HYPERLINK("https://svao.dolgi.msk.ru/account/1760040632/", 1760040632)</f>
        <v>1760040632</v>
      </c>
      <c r="D7458">
        <v>3695.49</v>
      </c>
    </row>
    <row r="7459" spans="1:4" x14ac:dyDescent="0.25">
      <c r="A7459" t="s">
        <v>651</v>
      </c>
      <c r="B7459" t="s">
        <v>104</v>
      </c>
      <c r="C7459" s="2">
        <f>HYPERLINK("https://svao.dolgi.msk.ru/account/1760040659/", 1760040659)</f>
        <v>1760040659</v>
      </c>
      <c r="D7459">
        <v>7677.76</v>
      </c>
    </row>
    <row r="7460" spans="1:4" x14ac:dyDescent="0.25">
      <c r="A7460" t="s">
        <v>651</v>
      </c>
      <c r="B7460" t="s">
        <v>74</v>
      </c>
      <c r="C7460" s="2">
        <f>HYPERLINK("https://svao.dolgi.msk.ru/account/1760040704/", 1760040704)</f>
        <v>1760040704</v>
      </c>
      <c r="D7460">
        <v>312.64999999999998</v>
      </c>
    </row>
    <row r="7461" spans="1:4" x14ac:dyDescent="0.25">
      <c r="A7461" t="s">
        <v>651</v>
      </c>
      <c r="B7461" t="s">
        <v>137</v>
      </c>
      <c r="C7461" s="2">
        <f>HYPERLINK("https://svao.dolgi.msk.ru/account/1760040739/", 1760040739)</f>
        <v>1760040739</v>
      </c>
      <c r="D7461">
        <v>262.85000000000002</v>
      </c>
    </row>
    <row r="7462" spans="1:4" x14ac:dyDescent="0.25">
      <c r="A7462" t="s">
        <v>651</v>
      </c>
      <c r="B7462" t="s">
        <v>75</v>
      </c>
      <c r="C7462" s="2">
        <f>HYPERLINK("https://svao.dolgi.msk.ru/account/1760040771/", 1760040771)</f>
        <v>1760040771</v>
      </c>
      <c r="D7462">
        <v>54649.55</v>
      </c>
    </row>
    <row r="7463" spans="1:4" x14ac:dyDescent="0.25">
      <c r="A7463" t="s">
        <v>651</v>
      </c>
      <c r="B7463" t="s">
        <v>10</v>
      </c>
      <c r="C7463" s="2">
        <f>HYPERLINK("https://svao.dolgi.msk.ru/account/1760040851/", 1760040851)</f>
        <v>1760040851</v>
      </c>
      <c r="D7463">
        <v>13133.55</v>
      </c>
    </row>
    <row r="7464" spans="1:4" x14ac:dyDescent="0.25">
      <c r="A7464" t="s">
        <v>651</v>
      </c>
      <c r="B7464" t="s">
        <v>10</v>
      </c>
      <c r="C7464" s="2">
        <f>HYPERLINK("https://svao.dolgi.msk.ru/account/1760040931/", 1760040931)</f>
        <v>1760040931</v>
      </c>
      <c r="D7464">
        <v>2869.66</v>
      </c>
    </row>
    <row r="7465" spans="1:4" x14ac:dyDescent="0.25">
      <c r="A7465" t="s">
        <v>651</v>
      </c>
      <c r="B7465" t="s">
        <v>11</v>
      </c>
      <c r="C7465" s="2">
        <f>HYPERLINK("https://svao.dolgi.msk.ru/account/1760040886/", 1760040886)</f>
        <v>1760040886</v>
      </c>
      <c r="D7465">
        <v>10224.629999999999</v>
      </c>
    </row>
    <row r="7466" spans="1:4" x14ac:dyDescent="0.25">
      <c r="A7466" t="s">
        <v>651</v>
      </c>
      <c r="B7466" t="s">
        <v>11</v>
      </c>
      <c r="C7466" s="2">
        <f>HYPERLINK("https://svao.dolgi.msk.ru/account/1760040894/", 1760040894)</f>
        <v>1760040894</v>
      </c>
      <c r="D7466">
        <v>250930.42</v>
      </c>
    </row>
    <row r="7467" spans="1:4" x14ac:dyDescent="0.25">
      <c r="A7467" t="s">
        <v>652</v>
      </c>
      <c r="B7467" t="s">
        <v>5</v>
      </c>
      <c r="C7467" s="2">
        <f>HYPERLINK("https://svao.dolgi.msk.ru/account/1760193567/", 1760193567)</f>
        <v>1760193567</v>
      </c>
      <c r="D7467">
        <v>5393.77</v>
      </c>
    </row>
    <row r="7468" spans="1:4" x14ac:dyDescent="0.25">
      <c r="A7468" t="s">
        <v>652</v>
      </c>
      <c r="B7468" t="s">
        <v>104</v>
      </c>
      <c r="C7468" s="2">
        <f>HYPERLINK("https://svao.dolgi.msk.ru/account/1760193647/", 1760193647)</f>
        <v>1760193647</v>
      </c>
      <c r="D7468">
        <v>635.72</v>
      </c>
    </row>
    <row r="7469" spans="1:4" x14ac:dyDescent="0.25">
      <c r="A7469" t="s">
        <v>652</v>
      </c>
      <c r="B7469" t="s">
        <v>9</v>
      </c>
      <c r="C7469" s="2">
        <f>HYPERLINK("https://svao.dolgi.msk.ru/account/1760193698/", 1760193698)</f>
        <v>1760193698</v>
      </c>
      <c r="D7469">
        <v>2577.41</v>
      </c>
    </row>
    <row r="7470" spans="1:4" x14ac:dyDescent="0.25">
      <c r="A7470" t="s">
        <v>652</v>
      </c>
      <c r="B7470" t="s">
        <v>91</v>
      </c>
      <c r="C7470" s="2">
        <f>HYPERLINK("https://svao.dolgi.msk.ru/account/1760193727/", 1760193727)</f>
        <v>1760193727</v>
      </c>
      <c r="D7470">
        <v>4666.74</v>
      </c>
    </row>
    <row r="7471" spans="1:4" x14ac:dyDescent="0.25">
      <c r="A7471" t="s">
        <v>652</v>
      </c>
      <c r="B7471" t="s">
        <v>10</v>
      </c>
      <c r="C7471" s="2">
        <f>HYPERLINK("https://svao.dolgi.msk.ru/account/1760193735/", 1760193735)</f>
        <v>1760193735</v>
      </c>
      <c r="D7471">
        <v>38050.57</v>
      </c>
    </row>
    <row r="7472" spans="1:4" x14ac:dyDescent="0.25">
      <c r="A7472" t="s">
        <v>652</v>
      </c>
      <c r="B7472" t="s">
        <v>12</v>
      </c>
      <c r="C7472" s="2">
        <f>HYPERLINK("https://svao.dolgi.msk.ru/account/1760193778/", 1760193778)</f>
        <v>1760193778</v>
      </c>
      <c r="D7472">
        <v>4970.3100000000004</v>
      </c>
    </row>
    <row r="7473" spans="1:4" x14ac:dyDescent="0.25">
      <c r="A7473" t="s">
        <v>652</v>
      </c>
      <c r="B7473" t="s">
        <v>14</v>
      </c>
      <c r="C7473" s="2">
        <f>HYPERLINK("https://svao.dolgi.msk.ru/account/1760193794/", 1760193794)</f>
        <v>1760193794</v>
      </c>
      <c r="D7473">
        <v>4823.16</v>
      </c>
    </row>
    <row r="7474" spans="1:4" x14ac:dyDescent="0.25">
      <c r="A7474" t="s">
        <v>652</v>
      </c>
      <c r="B7474" t="s">
        <v>106</v>
      </c>
      <c r="C7474" s="2">
        <f>HYPERLINK("https://svao.dolgi.msk.ru/account/1760193807/", 1760193807)</f>
        <v>1760193807</v>
      </c>
      <c r="D7474">
        <v>6839.16</v>
      </c>
    </row>
    <row r="7475" spans="1:4" x14ac:dyDescent="0.25">
      <c r="A7475" t="s">
        <v>652</v>
      </c>
      <c r="B7475" t="s">
        <v>108</v>
      </c>
      <c r="C7475" s="2">
        <f>HYPERLINK("https://svao.dolgi.msk.ru/account/1760193831/", 1760193831)</f>
        <v>1760193831</v>
      </c>
      <c r="D7475">
        <v>386.78</v>
      </c>
    </row>
    <row r="7476" spans="1:4" x14ac:dyDescent="0.25">
      <c r="A7476" t="s">
        <v>652</v>
      </c>
      <c r="B7476" t="s">
        <v>16</v>
      </c>
      <c r="C7476" s="2">
        <f>HYPERLINK("https://svao.dolgi.msk.ru/account/1760193858/", 1760193858)</f>
        <v>1760193858</v>
      </c>
      <c r="D7476">
        <v>3827.67</v>
      </c>
    </row>
    <row r="7477" spans="1:4" x14ac:dyDescent="0.25">
      <c r="A7477" t="s">
        <v>652</v>
      </c>
      <c r="B7477" t="s">
        <v>110</v>
      </c>
      <c r="C7477" s="2">
        <f>HYPERLINK("https://svao.dolgi.msk.ru/account/1760193911/", 1760193911)</f>
        <v>1760193911</v>
      </c>
      <c r="D7477">
        <v>3586.2</v>
      </c>
    </row>
    <row r="7478" spans="1:4" x14ac:dyDescent="0.25">
      <c r="A7478" t="s">
        <v>652</v>
      </c>
      <c r="B7478" t="s">
        <v>20</v>
      </c>
      <c r="C7478" s="2">
        <f>HYPERLINK("https://svao.dolgi.msk.ru/account/1760193938/", 1760193938)</f>
        <v>1760193938</v>
      </c>
      <c r="D7478">
        <v>1341.86</v>
      </c>
    </row>
    <row r="7479" spans="1:4" x14ac:dyDescent="0.25">
      <c r="A7479" t="s">
        <v>652</v>
      </c>
      <c r="B7479" t="s">
        <v>94</v>
      </c>
      <c r="C7479" s="2">
        <f>HYPERLINK("https://svao.dolgi.msk.ru/account/1760193997/", 1760193997)</f>
        <v>1760193997</v>
      </c>
      <c r="D7479">
        <v>2159.5</v>
      </c>
    </row>
    <row r="7480" spans="1:4" x14ac:dyDescent="0.25">
      <c r="A7480" t="s">
        <v>652</v>
      </c>
      <c r="B7480" t="s">
        <v>113</v>
      </c>
      <c r="C7480" s="2">
        <f>HYPERLINK("https://svao.dolgi.msk.ru/account/1760194017/", 1760194017)</f>
        <v>1760194017</v>
      </c>
      <c r="D7480">
        <v>4874.54</v>
      </c>
    </row>
    <row r="7481" spans="1:4" x14ac:dyDescent="0.25">
      <c r="A7481" t="s">
        <v>652</v>
      </c>
      <c r="B7481" t="s">
        <v>21</v>
      </c>
      <c r="C7481" s="2">
        <f>HYPERLINK("https://svao.dolgi.msk.ru/account/1760194025/", 1760194025)</f>
        <v>1760194025</v>
      </c>
      <c r="D7481">
        <v>5007.84</v>
      </c>
    </row>
    <row r="7482" spans="1:4" x14ac:dyDescent="0.25">
      <c r="A7482" t="s">
        <v>652</v>
      </c>
      <c r="B7482" t="s">
        <v>22</v>
      </c>
      <c r="C7482" s="2">
        <f>HYPERLINK("https://svao.dolgi.msk.ru/account/1760194076/", 1760194076)</f>
        <v>1760194076</v>
      </c>
      <c r="D7482">
        <v>2598.16</v>
      </c>
    </row>
    <row r="7483" spans="1:4" x14ac:dyDescent="0.25">
      <c r="A7483" t="s">
        <v>652</v>
      </c>
      <c r="B7483" t="s">
        <v>23</v>
      </c>
      <c r="C7483" s="2">
        <f>HYPERLINK("https://svao.dolgi.msk.ru/account/1760194092/", 1760194092)</f>
        <v>1760194092</v>
      </c>
      <c r="D7483">
        <v>4969.26</v>
      </c>
    </row>
    <row r="7484" spans="1:4" x14ac:dyDescent="0.25">
      <c r="A7484" t="s">
        <v>652</v>
      </c>
      <c r="B7484" t="s">
        <v>124</v>
      </c>
      <c r="C7484" s="2">
        <f>HYPERLINK("https://svao.dolgi.msk.ru/account/1760194105/", 1760194105)</f>
        <v>1760194105</v>
      </c>
      <c r="D7484">
        <v>50702.64</v>
      </c>
    </row>
    <row r="7485" spans="1:4" x14ac:dyDescent="0.25">
      <c r="A7485" t="s">
        <v>652</v>
      </c>
      <c r="B7485" t="s">
        <v>117</v>
      </c>
      <c r="C7485" s="2">
        <f>HYPERLINK("https://svao.dolgi.msk.ru/account/1760194113/", 1760194113)</f>
        <v>1760194113</v>
      </c>
      <c r="D7485">
        <v>4958.8500000000004</v>
      </c>
    </row>
    <row r="7486" spans="1:4" x14ac:dyDescent="0.25">
      <c r="A7486" t="s">
        <v>652</v>
      </c>
      <c r="B7486" t="s">
        <v>115</v>
      </c>
      <c r="C7486" s="2">
        <f>HYPERLINK("https://svao.dolgi.msk.ru/account/1760194121/", 1760194121)</f>
        <v>1760194121</v>
      </c>
      <c r="D7486">
        <v>6617.88</v>
      </c>
    </row>
    <row r="7487" spans="1:4" x14ac:dyDescent="0.25">
      <c r="A7487" t="s">
        <v>652</v>
      </c>
      <c r="B7487" t="s">
        <v>256</v>
      </c>
      <c r="C7487" s="2">
        <f>HYPERLINK("https://svao.dolgi.msk.ru/account/1760253371/", 1760253371)</f>
        <v>1760253371</v>
      </c>
      <c r="D7487">
        <v>1310.3900000000001</v>
      </c>
    </row>
    <row r="7488" spans="1:4" x14ac:dyDescent="0.25">
      <c r="A7488" t="s">
        <v>652</v>
      </c>
      <c r="B7488" t="s">
        <v>336</v>
      </c>
      <c r="C7488" s="2">
        <f>HYPERLINK("https://svao.dolgi.msk.ru/account/1760253419/", 1760253419)</f>
        <v>1760253419</v>
      </c>
      <c r="D7488">
        <v>1915.04</v>
      </c>
    </row>
    <row r="7489" spans="1:4" x14ac:dyDescent="0.25">
      <c r="A7489" t="s">
        <v>653</v>
      </c>
      <c r="B7489" t="s">
        <v>41</v>
      </c>
      <c r="C7489" s="2">
        <f>HYPERLINK("https://svao.dolgi.msk.ru/account/1761790654/", 1761790654)</f>
        <v>1761790654</v>
      </c>
      <c r="D7489">
        <v>39398.07</v>
      </c>
    </row>
    <row r="7490" spans="1:4" x14ac:dyDescent="0.25">
      <c r="A7490" t="s">
        <v>653</v>
      </c>
      <c r="B7490" t="s">
        <v>41</v>
      </c>
      <c r="C7490" s="2">
        <f>HYPERLINK("https://svao.dolgi.msk.ru/account/1761790785/", 1761790785)</f>
        <v>1761790785</v>
      </c>
      <c r="D7490">
        <v>4140.28</v>
      </c>
    </row>
    <row r="7491" spans="1:4" x14ac:dyDescent="0.25">
      <c r="A7491" t="s">
        <v>653</v>
      </c>
      <c r="B7491" t="s">
        <v>41</v>
      </c>
      <c r="C7491" s="2">
        <f>HYPERLINK("https://svao.dolgi.msk.ru/account/1761790806/", 1761790806)</f>
        <v>1761790806</v>
      </c>
      <c r="D7491">
        <v>144</v>
      </c>
    </row>
    <row r="7492" spans="1:4" x14ac:dyDescent="0.25">
      <c r="A7492" t="s">
        <v>653</v>
      </c>
      <c r="B7492" t="s">
        <v>41</v>
      </c>
      <c r="C7492" s="2">
        <f>HYPERLINK("https://svao.dolgi.msk.ru/account/1761790814/", 1761790814)</f>
        <v>1761790814</v>
      </c>
      <c r="D7492">
        <v>43227.24</v>
      </c>
    </row>
    <row r="7493" spans="1:4" x14ac:dyDescent="0.25">
      <c r="A7493" t="s">
        <v>653</v>
      </c>
      <c r="B7493" t="s">
        <v>41</v>
      </c>
      <c r="C7493" s="2">
        <f>HYPERLINK("https://svao.dolgi.msk.ru/account/1761790822/", 1761790822)</f>
        <v>1761790822</v>
      </c>
      <c r="D7493">
        <v>13992.68</v>
      </c>
    </row>
    <row r="7494" spans="1:4" x14ac:dyDescent="0.25">
      <c r="A7494" t="s">
        <v>653</v>
      </c>
      <c r="B7494" t="s">
        <v>41</v>
      </c>
      <c r="C7494" s="2">
        <f>HYPERLINK("https://svao.dolgi.msk.ru/account/1761790857/", 1761790857)</f>
        <v>1761790857</v>
      </c>
      <c r="D7494">
        <v>149.6</v>
      </c>
    </row>
    <row r="7495" spans="1:4" x14ac:dyDescent="0.25">
      <c r="A7495" t="s">
        <v>653</v>
      </c>
      <c r="B7495" t="s">
        <v>41</v>
      </c>
      <c r="C7495" s="2">
        <f>HYPERLINK("https://svao.dolgi.msk.ru/account/1761791702/", 1761791702)</f>
        <v>1761791702</v>
      </c>
      <c r="D7495">
        <v>448.64</v>
      </c>
    </row>
    <row r="7496" spans="1:4" x14ac:dyDescent="0.25">
      <c r="A7496" t="s">
        <v>653</v>
      </c>
      <c r="B7496" t="s">
        <v>41</v>
      </c>
      <c r="C7496" s="2">
        <f>HYPERLINK("https://svao.dolgi.msk.ru/account/1761791737/", 1761791737)</f>
        <v>1761791737</v>
      </c>
      <c r="D7496">
        <v>930.55</v>
      </c>
    </row>
    <row r="7497" spans="1:4" x14ac:dyDescent="0.25">
      <c r="A7497" t="s">
        <v>653</v>
      </c>
      <c r="B7497" t="s">
        <v>5</v>
      </c>
      <c r="C7497" s="2">
        <f>HYPERLINK("https://svao.dolgi.msk.ru/account/1761790937/", 1761790937)</f>
        <v>1761790937</v>
      </c>
      <c r="D7497">
        <v>931</v>
      </c>
    </row>
    <row r="7498" spans="1:4" x14ac:dyDescent="0.25">
      <c r="A7498" t="s">
        <v>653</v>
      </c>
      <c r="B7498" t="s">
        <v>5</v>
      </c>
      <c r="C7498" s="2">
        <f>HYPERLINK("https://svao.dolgi.msk.ru/account/1761790953/", 1761790953)</f>
        <v>1761790953</v>
      </c>
      <c r="D7498">
        <v>2161.6799999999998</v>
      </c>
    </row>
    <row r="7499" spans="1:4" x14ac:dyDescent="0.25">
      <c r="A7499" t="s">
        <v>653</v>
      </c>
      <c r="B7499" t="s">
        <v>5</v>
      </c>
      <c r="C7499" s="2">
        <f>HYPERLINK("https://svao.dolgi.msk.ru/account/1761790961/", 1761790961)</f>
        <v>1761790961</v>
      </c>
      <c r="D7499">
        <v>12417.11</v>
      </c>
    </row>
    <row r="7500" spans="1:4" x14ac:dyDescent="0.25">
      <c r="A7500" t="s">
        <v>653</v>
      </c>
      <c r="B7500" t="s">
        <v>5</v>
      </c>
      <c r="C7500" s="2">
        <f>HYPERLINK("https://svao.dolgi.msk.ru/account/1761791008/", 1761791008)</f>
        <v>1761791008</v>
      </c>
      <c r="D7500">
        <v>3504</v>
      </c>
    </row>
    <row r="7501" spans="1:4" x14ac:dyDescent="0.25">
      <c r="A7501" t="s">
        <v>653</v>
      </c>
      <c r="B7501" t="s">
        <v>5</v>
      </c>
      <c r="C7501" s="2">
        <f>HYPERLINK("https://svao.dolgi.msk.ru/account/1761791016/", 1761791016)</f>
        <v>1761791016</v>
      </c>
      <c r="D7501">
        <v>810.74</v>
      </c>
    </row>
    <row r="7502" spans="1:4" x14ac:dyDescent="0.25">
      <c r="A7502" t="s">
        <v>653</v>
      </c>
      <c r="B7502" t="s">
        <v>5</v>
      </c>
      <c r="C7502" s="2">
        <f>HYPERLINK("https://svao.dolgi.msk.ru/account/1761791294/", 1761791294)</f>
        <v>1761791294</v>
      </c>
      <c r="D7502">
        <v>4365.97</v>
      </c>
    </row>
    <row r="7503" spans="1:4" x14ac:dyDescent="0.25">
      <c r="A7503" t="s">
        <v>653</v>
      </c>
      <c r="B7503" t="s">
        <v>5</v>
      </c>
      <c r="C7503" s="2">
        <f>HYPERLINK("https://svao.dolgi.msk.ru/account/1761791307/", 1761791307)</f>
        <v>1761791307</v>
      </c>
      <c r="D7503">
        <v>1232.55</v>
      </c>
    </row>
    <row r="7504" spans="1:4" x14ac:dyDescent="0.25">
      <c r="A7504" t="s">
        <v>653</v>
      </c>
      <c r="B7504" t="s">
        <v>5</v>
      </c>
      <c r="C7504" s="2">
        <f>HYPERLINK("https://svao.dolgi.msk.ru/account/1761791681/", 1761791681)</f>
        <v>1761791681</v>
      </c>
      <c r="D7504">
        <v>18792.57</v>
      </c>
    </row>
    <row r="7505" spans="1:4" x14ac:dyDescent="0.25">
      <c r="A7505" t="s">
        <v>653</v>
      </c>
      <c r="B7505" t="s">
        <v>5</v>
      </c>
      <c r="C7505" s="2">
        <f>HYPERLINK("https://svao.dolgi.msk.ru/account/1761791729/", 1761791729)</f>
        <v>1761791729</v>
      </c>
      <c r="D7505">
        <v>987.26</v>
      </c>
    </row>
    <row r="7506" spans="1:4" x14ac:dyDescent="0.25">
      <c r="A7506" t="s">
        <v>653</v>
      </c>
      <c r="B7506" t="s">
        <v>5</v>
      </c>
      <c r="C7506" s="2">
        <f>HYPERLINK("https://svao.dolgi.msk.ru/account/1761791956/", 1761791956)</f>
        <v>1761791956</v>
      </c>
      <c r="D7506">
        <v>1654.89</v>
      </c>
    </row>
    <row r="7507" spans="1:4" x14ac:dyDescent="0.25">
      <c r="A7507" t="s">
        <v>653</v>
      </c>
      <c r="B7507" t="s">
        <v>5</v>
      </c>
      <c r="C7507" s="2">
        <f>HYPERLINK("https://svao.dolgi.msk.ru/account/1761792086/", 1761792086)</f>
        <v>1761792086</v>
      </c>
      <c r="D7507">
        <v>1028.18</v>
      </c>
    </row>
    <row r="7508" spans="1:4" x14ac:dyDescent="0.25">
      <c r="A7508" t="s">
        <v>653</v>
      </c>
      <c r="B7508" t="s">
        <v>5</v>
      </c>
      <c r="C7508" s="2">
        <f>HYPERLINK("https://svao.dolgi.msk.ru/account/1761792107/", 1761792107)</f>
        <v>1761792107</v>
      </c>
      <c r="D7508">
        <v>946.34</v>
      </c>
    </row>
    <row r="7509" spans="1:4" x14ac:dyDescent="0.25">
      <c r="A7509" t="s">
        <v>653</v>
      </c>
      <c r="B7509" t="s">
        <v>5</v>
      </c>
      <c r="C7509" s="2">
        <f>HYPERLINK("https://svao.dolgi.msk.ru/account/1761792115/", 1761792115)</f>
        <v>1761792115</v>
      </c>
      <c r="D7509">
        <v>956.57</v>
      </c>
    </row>
    <row r="7510" spans="1:4" x14ac:dyDescent="0.25">
      <c r="A7510" t="s">
        <v>653</v>
      </c>
      <c r="B7510" t="s">
        <v>5</v>
      </c>
      <c r="C7510" s="2">
        <f>HYPERLINK("https://svao.dolgi.msk.ru/account/1761792123/", 1761792123)</f>
        <v>1761792123</v>
      </c>
      <c r="D7510">
        <v>1023.07</v>
      </c>
    </row>
    <row r="7511" spans="1:4" x14ac:dyDescent="0.25">
      <c r="A7511" t="s">
        <v>653</v>
      </c>
      <c r="B7511" t="s">
        <v>5</v>
      </c>
      <c r="C7511" s="2">
        <f>HYPERLINK("https://svao.dolgi.msk.ru/account/1761795471/", 1761795471)</f>
        <v>1761795471</v>
      </c>
      <c r="D7511">
        <v>905.42</v>
      </c>
    </row>
    <row r="7512" spans="1:4" x14ac:dyDescent="0.25">
      <c r="A7512" t="s">
        <v>653</v>
      </c>
      <c r="B7512" t="s">
        <v>7</v>
      </c>
      <c r="C7512" s="2">
        <f>HYPERLINK("https://svao.dolgi.msk.ru/account/1761791083/", 1761791083)</f>
        <v>1761791083</v>
      </c>
      <c r="D7512">
        <v>906.73</v>
      </c>
    </row>
    <row r="7513" spans="1:4" x14ac:dyDescent="0.25">
      <c r="A7513" t="s">
        <v>653</v>
      </c>
      <c r="B7513" t="s">
        <v>7</v>
      </c>
      <c r="C7513" s="2">
        <f>HYPERLINK("https://svao.dolgi.msk.ru/account/1761791112/", 1761791112)</f>
        <v>1761791112</v>
      </c>
      <c r="D7513">
        <v>3192.2</v>
      </c>
    </row>
    <row r="7514" spans="1:4" x14ac:dyDescent="0.25">
      <c r="A7514" t="s">
        <v>653</v>
      </c>
      <c r="B7514" t="s">
        <v>7</v>
      </c>
      <c r="C7514" s="2">
        <f>HYPERLINK("https://svao.dolgi.msk.ru/account/1761791155/", 1761791155)</f>
        <v>1761791155</v>
      </c>
      <c r="D7514">
        <v>3271.09</v>
      </c>
    </row>
    <row r="7515" spans="1:4" x14ac:dyDescent="0.25">
      <c r="A7515" t="s">
        <v>653</v>
      </c>
      <c r="B7515" t="s">
        <v>7</v>
      </c>
      <c r="C7515" s="2">
        <f>HYPERLINK("https://svao.dolgi.msk.ru/account/1761791323/", 1761791323)</f>
        <v>1761791323</v>
      </c>
      <c r="D7515">
        <v>19672.580000000002</v>
      </c>
    </row>
    <row r="7516" spans="1:4" x14ac:dyDescent="0.25">
      <c r="A7516" t="s">
        <v>653</v>
      </c>
      <c r="B7516" t="s">
        <v>7</v>
      </c>
      <c r="C7516" s="2">
        <f>HYPERLINK("https://svao.dolgi.msk.ru/account/1761791331/", 1761791331)</f>
        <v>1761791331</v>
      </c>
      <c r="D7516">
        <v>2158.36</v>
      </c>
    </row>
    <row r="7517" spans="1:4" x14ac:dyDescent="0.25">
      <c r="A7517" t="s">
        <v>653</v>
      </c>
      <c r="B7517" t="s">
        <v>7</v>
      </c>
      <c r="C7517" s="2">
        <f>HYPERLINK("https://svao.dolgi.msk.ru/account/1761791374/", 1761791374)</f>
        <v>1761791374</v>
      </c>
      <c r="D7517">
        <v>917.21</v>
      </c>
    </row>
    <row r="7518" spans="1:4" x14ac:dyDescent="0.25">
      <c r="A7518" t="s">
        <v>653</v>
      </c>
      <c r="B7518" t="s">
        <v>7</v>
      </c>
      <c r="C7518" s="2">
        <f>HYPERLINK("https://svao.dolgi.msk.ru/account/1761792019/", 1761792019)</f>
        <v>1761792019</v>
      </c>
      <c r="D7518">
        <v>953.28</v>
      </c>
    </row>
    <row r="7519" spans="1:4" x14ac:dyDescent="0.25">
      <c r="A7519" t="s">
        <v>653</v>
      </c>
      <c r="B7519" t="s">
        <v>7</v>
      </c>
      <c r="C7519" s="2">
        <f>HYPERLINK("https://svao.dolgi.msk.ru/account/1761792027/", 1761792027)</f>
        <v>1761792027</v>
      </c>
      <c r="D7519">
        <v>963.58</v>
      </c>
    </row>
    <row r="7520" spans="1:4" x14ac:dyDescent="0.25">
      <c r="A7520" t="s">
        <v>653</v>
      </c>
      <c r="B7520" t="s">
        <v>7</v>
      </c>
      <c r="C7520" s="2">
        <f>HYPERLINK("https://svao.dolgi.msk.ru/account/1761792035/", 1761792035)</f>
        <v>1761792035</v>
      </c>
      <c r="D7520">
        <v>958.43</v>
      </c>
    </row>
    <row r="7521" spans="1:4" x14ac:dyDescent="0.25">
      <c r="A7521" t="s">
        <v>653</v>
      </c>
      <c r="B7521" t="s">
        <v>7</v>
      </c>
      <c r="C7521" s="2">
        <f>HYPERLINK("https://svao.dolgi.msk.ru/account/1761792043/", 1761792043)</f>
        <v>1761792043</v>
      </c>
      <c r="D7521">
        <v>968.74</v>
      </c>
    </row>
    <row r="7522" spans="1:4" x14ac:dyDescent="0.25">
      <c r="A7522" t="s">
        <v>653</v>
      </c>
      <c r="B7522" t="s">
        <v>7</v>
      </c>
      <c r="C7522" s="2">
        <f>HYPERLINK("https://svao.dolgi.msk.ru/account/1761792051/", 1761792051)</f>
        <v>1761792051</v>
      </c>
      <c r="D7522">
        <v>1035.72</v>
      </c>
    </row>
    <row r="7523" spans="1:4" x14ac:dyDescent="0.25">
      <c r="A7523" t="s">
        <v>653</v>
      </c>
      <c r="B7523" t="s">
        <v>7</v>
      </c>
      <c r="C7523" s="2">
        <f>HYPERLINK("https://svao.dolgi.msk.ru/account/1761792078/", 1761792078)</f>
        <v>1761792078</v>
      </c>
      <c r="D7523">
        <v>953.28</v>
      </c>
    </row>
    <row r="7524" spans="1:4" x14ac:dyDescent="0.25">
      <c r="A7524" t="s">
        <v>653</v>
      </c>
      <c r="B7524" t="s">
        <v>7</v>
      </c>
      <c r="C7524" s="2">
        <f>HYPERLINK("https://svao.dolgi.msk.ru/account/1761792131/", 1761792131)</f>
        <v>1761792131</v>
      </c>
      <c r="D7524">
        <v>1061.49</v>
      </c>
    </row>
    <row r="7525" spans="1:4" x14ac:dyDescent="0.25">
      <c r="A7525" t="s">
        <v>653</v>
      </c>
      <c r="B7525" t="s">
        <v>101</v>
      </c>
      <c r="C7525" s="2">
        <f>HYPERLINK("https://svao.dolgi.msk.ru/account/1761790689/", 1761790689)</f>
        <v>1761790689</v>
      </c>
      <c r="D7525">
        <v>17553.84</v>
      </c>
    </row>
    <row r="7526" spans="1:4" x14ac:dyDescent="0.25">
      <c r="A7526" t="s">
        <v>653</v>
      </c>
      <c r="B7526" t="s">
        <v>101</v>
      </c>
      <c r="C7526" s="2">
        <f>HYPERLINK("https://svao.dolgi.msk.ru/account/1761791235/", 1761791235)</f>
        <v>1761791235</v>
      </c>
      <c r="D7526">
        <v>128.34</v>
      </c>
    </row>
    <row r="7527" spans="1:4" x14ac:dyDescent="0.25">
      <c r="A7527" t="s">
        <v>653</v>
      </c>
      <c r="B7527" t="s">
        <v>101</v>
      </c>
      <c r="C7527" s="2">
        <f>HYPERLINK("https://svao.dolgi.msk.ru/account/1761791243/", 1761791243)</f>
        <v>1761791243</v>
      </c>
      <c r="D7527">
        <v>402.82</v>
      </c>
    </row>
    <row r="7528" spans="1:4" x14ac:dyDescent="0.25">
      <c r="A7528" t="s">
        <v>653</v>
      </c>
      <c r="B7528" t="s">
        <v>101</v>
      </c>
      <c r="C7528" s="2">
        <f>HYPERLINK("https://svao.dolgi.msk.ru/account/1761791278/", 1761791278)</f>
        <v>1761791278</v>
      </c>
      <c r="D7528">
        <v>2305.91</v>
      </c>
    </row>
    <row r="7529" spans="1:4" x14ac:dyDescent="0.25">
      <c r="A7529" t="s">
        <v>653</v>
      </c>
      <c r="B7529" t="s">
        <v>101</v>
      </c>
      <c r="C7529" s="2">
        <f>HYPERLINK("https://svao.dolgi.msk.ru/account/1761791286/", 1761791286)</f>
        <v>1761791286</v>
      </c>
      <c r="D7529">
        <v>3077.63</v>
      </c>
    </row>
    <row r="7530" spans="1:4" x14ac:dyDescent="0.25">
      <c r="A7530" t="s">
        <v>653</v>
      </c>
      <c r="B7530" t="s">
        <v>101</v>
      </c>
      <c r="C7530" s="2">
        <f>HYPERLINK("https://svao.dolgi.msk.ru/account/1761791358/", 1761791358)</f>
        <v>1761791358</v>
      </c>
      <c r="D7530">
        <v>3230.31</v>
      </c>
    </row>
    <row r="7531" spans="1:4" x14ac:dyDescent="0.25">
      <c r="A7531" t="s">
        <v>653</v>
      </c>
      <c r="B7531" t="s">
        <v>101</v>
      </c>
      <c r="C7531" s="2">
        <f>HYPERLINK("https://svao.dolgi.msk.ru/account/1761791497/", 1761791497)</f>
        <v>1761791497</v>
      </c>
      <c r="D7531">
        <v>2362.2800000000002</v>
      </c>
    </row>
    <row r="7532" spans="1:4" x14ac:dyDescent="0.25">
      <c r="A7532" t="s">
        <v>653</v>
      </c>
      <c r="B7532" t="s">
        <v>101</v>
      </c>
      <c r="C7532" s="2">
        <f>HYPERLINK("https://svao.dolgi.msk.ru/account/1761791526/", 1761791526)</f>
        <v>1761791526</v>
      </c>
      <c r="D7532">
        <v>5465.72</v>
      </c>
    </row>
    <row r="7533" spans="1:4" x14ac:dyDescent="0.25">
      <c r="A7533" t="s">
        <v>653</v>
      </c>
      <c r="B7533" t="s">
        <v>101</v>
      </c>
      <c r="C7533" s="2">
        <f>HYPERLINK("https://svao.dolgi.msk.ru/account/1761791534/", 1761791534)</f>
        <v>1761791534</v>
      </c>
      <c r="D7533">
        <v>2068.8200000000002</v>
      </c>
    </row>
    <row r="7534" spans="1:4" x14ac:dyDescent="0.25">
      <c r="A7534" t="s">
        <v>653</v>
      </c>
      <c r="B7534" t="s">
        <v>101</v>
      </c>
      <c r="C7534" s="2">
        <f>HYPERLINK("https://svao.dolgi.msk.ru/account/1761791542/", 1761791542)</f>
        <v>1761791542</v>
      </c>
      <c r="D7534">
        <v>1001.59</v>
      </c>
    </row>
    <row r="7535" spans="1:4" x14ac:dyDescent="0.25">
      <c r="A7535" t="s">
        <v>653</v>
      </c>
      <c r="B7535" t="s">
        <v>101</v>
      </c>
      <c r="C7535" s="2">
        <f>HYPERLINK("https://svao.dolgi.msk.ru/account/1761791569/", 1761791569)</f>
        <v>1761791569</v>
      </c>
      <c r="D7535">
        <v>1006.73</v>
      </c>
    </row>
    <row r="7536" spans="1:4" x14ac:dyDescent="0.25">
      <c r="A7536" t="s">
        <v>653</v>
      </c>
      <c r="B7536" t="s">
        <v>101</v>
      </c>
      <c r="C7536" s="2">
        <f>HYPERLINK("https://svao.dolgi.msk.ru/account/1761791577/", 1761791577)</f>
        <v>1761791577</v>
      </c>
      <c r="D7536">
        <v>32858.43</v>
      </c>
    </row>
    <row r="7537" spans="1:4" x14ac:dyDescent="0.25">
      <c r="A7537" t="s">
        <v>653</v>
      </c>
      <c r="B7537" t="s">
        <v>101</v>
      </c>
      <c r="C7537" s="2">
        <f>HYPERLINK("https://svao.dolgi.msk.ru/account/1761791606/", 1761791606)</f>
        <v>1761791606</v>
      </c>
      <c r="D7537">
        <v>996.45</v>
      </c>
    </row>
    <row r="7538" spans="1:4" x14ac:dyDescent="0.25">
      <c r="A7538" t="s">
        <v>653</v>
      </c>
      <c r="B7538" t="s">
        <v>101</v>
      </c>
      <c r="C7538" s="2">
        <f>HYPERLINK("https://svao.dolgi.msk.ru/account/1761791622/", 1761791622)</f>
        <v>1761791622</v>
      </c>
      <c r="D7538">
        <v>975.9</v>
      </c>
    </row>
    <row r="7539" spans="1:4" x14ac:dyDescent="0.25">
      <c r="A7539" t="s">
        <v>653</v>
      </c>
      <c r="B7539" t="s">
        <v>38</v>
      </c>
      <c r="C7539" s="2">
        <f>HYPERLINK("https://svao.dolgi.msk.ru/account/1761795623/", 1761795623)</f>
        <v>1761795623</v>
      </c>
      <c r="D7539">
        <v>812.32</v>
      </c>
    </row>
  </sheetData>
  <autoFilter ref="A1:D753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Жилищник Алексеевского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Владимировна Борисенкова (Начальник отдела по работе с физическими и юридическими лицами) &lt;aborisenkova92@mail.ru&gt;</dc:creator>
  <dc:description>uuid: 5e7d870017e144e4932d9c8d1e5bd4ef generated: 2022-07-11 16:19:03</dc:description>
  <cp:lastModifiedBy>Оксана Федоровна Глущенко</cp:lastModifiedBy>
  <dcterms:created xsi:type="dcterms:W3CDTF">2022-07-11T13:19:22Z</dcterms:created>
  <dcterms:modified xsi:type="dcterms:W3CDTF">2022-07-11T13:23:16Z</dcterms:modified>
</cp:coreProperties>
</file>